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10 Octubre\"/>
    </mc:Choice>
  </mc:AlternateContent>
  <xr:revisionPtr revIDLastSave="0" documentId="13_ncr:1_{B3949A37-12C4-4916-82A2-46F73B3435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E57" i="1"/>
  <c r="F12" i="1" l="1"/>
  <c r="I57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D17" i="1" l="1"/>
  <c r="G14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<sst xmlns="http://schemas.openxmlformats.org/spreadsheetml/2006/main" count="308" uniqueCount="132">
  <si>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</si>
  <si>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</si>
  <si>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</si>
  <si>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</si>
  <si>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</si>
  <si>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</si>
  <si>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</si>
  <si>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</si>
  <si>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</si>
  <si>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</si>
  <si>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</si>
  <si>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</si>
  <si>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</si>
  <si>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</si>
  <si>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</si>
  <si>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</si>
  <si>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</si>
  <si>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</si>
  <si>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</si>
  <si>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</si>
  <si>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</si>
  <si>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</si>
  <si>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</si>
  <si>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</si>
  <si>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</si>
  <si>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</si>
  <si>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</si>
  <si>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</si>
  <si>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</si>
  <si>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</si>
  <si>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</si>
  <si>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</si>
  <si>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</si>
  <si>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</si>
  <si>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</si>
  <si>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</si>
  <si>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</si>
  <si>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</si>
  <si>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</si>
  <si>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</si>
  <si>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</si>
  <si>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</si>
  <si>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</si>
  <si>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</si>
  <si>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</si>
  <si>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</si>
  <si>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</si>
  <si>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</si>
  <si>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</si>
  <si>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</si>
  <si>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</si>
  <si>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</si>
  <si>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</si>
  <si>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</si>
  <si>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</si>
  <si>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</si>
  <si>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</si>
  <si>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</si>
  <si>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</si>
  <si>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</si>
  <si>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</si>
  <si>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</si>
  <si>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</si>
  <si>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</si>
  <si>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</si>
  <si>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</si>
  <si>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</si>
  <si>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</si>
  <si>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</si>
  <si>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</si>
  <si>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</si>
  <si>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</si>
  <si>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</si>
  <si>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</si>
  <si>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</si>
  <si>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</si>
  <si>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</si>
  <si>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</si>
  <si>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</si>
  <si>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</si>
  <si>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</si>
  <si>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</si>
  <si>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</si>
  <si>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</si>
  <si>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</si>
  <si>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</si>
  <si>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</si>
  <si>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</si>
  <si>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</si>
  <si>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</si>
  <si>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</si>
  <si>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</si>
  <si>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</si>
  <si>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</si>
  <si>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</si>
  <si>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</si>
  <si>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</si>
  <si>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</si>
  <si>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</si>
  <si>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</si>
  <si>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</si>
  <si>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</si>
  <si>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</si>
  <si>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</si>
  <si>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</si>
  <si>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</si>
  <si>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</si>
  <si>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</si>
  <si>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</si>
  <si>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</si>
  <si>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</si>
  <si>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</si>
  <si>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</si>
  <si>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</si>
  <si>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</si>
  <si>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</si>
  <si>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</si>
  <si>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</si>
  <si>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</si>
  <si>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</si>
  <si>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</si>
  <si>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</si>
  <si>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</si>
  <si>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</si>
  <si>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</si>
  <si>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Setiembre</t>
  </si>
  <si>
    <t>Enero - Setiembre</t>
  </si>
  <si>
    <t>Grafico N° 11: Generación de energía eléctrica por Región, al mes de setiembre 2021</t>
  </si>
  <si>
    <t>Cuadro N° 8: Producción de energía eléctrica nacional por zona del país, al mes de setiembre</t>
  </si>
  <si>
    <t>3.2 Producción de energía eléctrica (GWh) por origen y zona al mes de setiembre 2021</t>
  </si>
  <si>
    <t>Setiembre 2021</t>
  </si>
  <si>
    <t>1. RESUMEN NACIONAL AL MES DE 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</si>
</sst>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6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63" xfId="0" applyNumberFormat="1" applyFont="1" applyFill="1" applyBorder="1" applyAlignment="1">
      <alignment vertical="center"/>
    </xf>
    <xf numFmtId="167" fontId="0" fillId="68" borderId="30" xfId="0" applyNumberFormat="1" applyFill="1" applyBorder="1"/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82" fontId="0" fillId="68" borderId="27" xfId="0" applyNumberFormat="1" applyFont="1" applyFill="1" applyBorder="1" applyAlignment="1">
      <alignment vertical="center"/>
    </xf>
    <xf numFmtId="182" fontId="0" fillId="68" borderId="63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0" fillId="68" borderId="60" xfId="0" applyNumberFormat="1" applyFill="1" applyBorder="1"/>
    <xf numFmtId="167" fontId="0" fillId="68" borderId="82" xfId="0" applyNumberFormat="1" applyFill="1" applyBorder="1"/>
    <xf numFmtId="182" fontId="99" fillId="0" borderId="78" xfId="0" applyNumberFormat="1" applyFont="1" applyBorder="1"/>
    <xf numFmtId="182" fontId="99" fillId="0" borderId="108" xfId="0" applyNumberFormat="1" applyFont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78" fontId="96" fillId="0" borderId="32" xfId="33743" applyNumberFormat="1" applyFont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Setiembre 2021</a:t>
            </a:r>
          </a:p>
          <a:p>
            <a:pPr>
              <a:defRPr sz="800" b="1"/>
            </a:pPr>
            <a:r>
              <a:rPr lang="es-PE" sz="800" b="1"/>
              <a:t>Total : 4 710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37.752663319080071</c:v>
                </c:pt>
                <c:pt idx="1">
                  <c:v>84.030121581178221</c:v>
                </c:pt>
                <c:pt idx="2">
                  <c:v>1907.3555922453488</c:v>
                </c:pt>
                <c:pt idx="3">
                  <c:v>2481.4049336399084</c:v>
                </c:pt>
                <c:pt idx="4">
                  <c:v>199.60041687250001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1568.6859532237966</c:v>
                </c:pt>
                <c:pt idx="2" formatCode="_ * #,##0.00_ ;_ * \-#,##0.00_ ;_ * &quot;-&quot;??_ ;_ @_ ">
                  <c:v>6.4619999999999999E-3</c:v>
                </c:pt>
                <c:pt idx="3">
                  <c:v>2346.8926122157122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64.345514320000007</c:v>
                </c:pt>
                <c:pt idx="1">
                  <c:v>277.22178130684637</c:v>
                </c:pt>
                <c:pt idx="2">
                  <c:v>70.789184132499997</c:v>
                </c:pt>
                <c:pt idx="3">
                  <c:v>63.494628490978926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33.527264946666662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3915.5850274395088</c:v>
                </c:pt>
                <c:pt idx="1">
                  <c:v>475.8511082503253</c:v>
                </c:pt>
                <c:pt idx="2">
                  <c:v>285.1803270215126</c:v>
                </c:pt>
                <c:pt idx="3">
                  <c:v>33.527264946666662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ICA</c:v>
                </c:pt>
                <c:pt idx="7">
                  <c:v>ANCASH</c:v>
                </c:pt>
                <c:pt idx="8">
                  <c:v>AREQUIPA</c:v>
                </c:pt>
                <c:pt idx="9">
                  <c:v>HUANUCO</c:v>
                </c:pt>
                <c:pt idx="10">
                  <c:v>CAJAMARCA</c:v>
                </c:pt>
                <c:pt idx="11">
                  <c:v>LA LIBERTAD</c:v>
                </c:pt>
                <c:pt idx="12">
                  <c:v>MOQUEGUA</c:v>
                </c:pt>
                <c:pt idx="13">
                  <c:v>PUNO</c:v>
                </c:pt>
                <c:pt idx="14">
                  <c:v>UCAYALI</c:v>
                </c:pt>
                <c:pt idx="15">
                  <c:v>PASCO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2423.0539554617199</c:v>
                </c:pt>
                <c:pt idx="1">
                  <c:v>725.99294351836681</c:v>
                </c:pt>
                <c:pt idx="2">
                  <c:v>328.88534464031073</c:v>
                </c:pt>
                <c:pt idx="3">
                  <c:v>159.21312509682724</c:v>
                </c:pt>
                <c:pt idx="4">
                  <c:v>122.80520985999998</c:v>
                </c:pt>
                <c:pt idx="5">
                  <c:v>121.81044624083863</c:v>
                </c:pt>
                <c:pt idx="6">
                  <c:v>109.37789772583335</c:v>
                </c:pt>
                <c:pt idx="7">
                  <c:v>104.3094413099799</c:v>
                </c:pt>
                <c:pt idx="8">
                  <c:v>98.181988691158566</c:v>
                </c:pt>
                <c:pt idx="9">
                  <c:v>82.862323465005588</c:v>
                </c:pt>
                <c:pt idx="10">
                  <c:v>80.31387155276667</c:v>
                </c:pt>
                <c:pt idx="11">
                  <c:v>70.172249217213945</c:v>
                </c:pt>
                <c:pt idx="12">
                  <c:v>63.303180260833344</c:v>
                </c:pt>
                <c:pt idx="13">
                  <c:v>55.493066789166683</c:v>
                </c:pt>
                <c:pt idx="14">
                  <c:v>48.737934971666668</c:v>
                </c:pt>
                <c:pt idx="15">
                  <c:v>42.529958975633335</c:v>
                </c:pt>
                <c:pt idx="16">
                  <c:v>33.527264946666662</c:v>
                </c:pt>
                <c:pt idx="17">
                  <c:v>22.758248036666672</c:v>
                </c:pt>
                <c:pt idx="18">
                  <c:v>4.6831967891666686</c:v>
                </c:pt>
                <c:pt idx="19">
                  <c:v>4.126455888193318</c:v>
                </c:pt>
                <c:pt idx="20">
                  <c:v>3.2140306666666669</c:v>
                </c:pt>
                <c:pt idx="21">
                  <c:v>2.9735593333333332</c:v>
                </c:pt>
                <c:pt idx="22">
                  <c:v>1.1005480000000003</c:v>
                </c:pt>
                <c:pt idx="23">
                  <c:v>0.61070700000000011</c:v>
                </c:pt>
                <c:pt idx="24">
                  <c:v>0.10677922000000001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1919.7520446579797</c:v>
                </c:pt>
                <c:pt idx="1">
                  <c:v>2294.2982048048557</c:v>
                </c:pt>
                <c:pt idx="2">
                  <c:v>174.344697</c:v>
                </c:pt>
                <c:pt idx="3">
                  <c:v>70.453969999999998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1945.1082555644289</c:v>
                </c:pt>
                <c:pt idx="1">
                  <c:v>2565.4350552210867</c:v>
                </c:pt>
                <c:pt idx="2">
                  <c:v>128.81123274000001</c:v>
                </c:pt>
                <c:pt idx="3">
                  <c:v>70.789184132499997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159.10204542732322</c:v>
                </c:pt>
                <c:pt idx="1">
                  <c:v>129.38631778199073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4299.7468710355115</c:v>
                </c:pt>
                <c:pt idx="1">
                  <c:v>4580.7574098760251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1810.5495958179797</c:v>
                </c:pt>
                <c:pt idx="1">
                  <c:v>1825.0022261944289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2240.2683388048558</c:v>
                </c:pt>
                <c:pt idx="1">
                  <c:v>2507.3445689701366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109.20244884</c:v>
                </c:pt>
                <c:pt idx="1">
                  <c:v>120.10602936999992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298.82853299999999</c:v>
                </c:pt>
                <c:pt idx="1">
                  <c:v>257.69090312345008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1945.1082555644289</c:v>
                </c:pt>
                <c:pt idx="1">
                  <c:v>2414.5951553638961</c:v>
                </c:pt>
                <c:pt idx="2">
                  <c:v>92.560345832683197</c:v>
                </c:pt>
                <c:pt idx="3">
                  <c:v>58.090486250950079</c:v>
                </c:pt>
                <c:pt idx="4">
                  <c:v>128.81123274000001</c:v>
                </c:pt>
                <c:pt idx="5">
                  <c:v>70.789184132499997</c:v>
                </c:pt>
                <c:pt idx="6" formatCode="#,##0.0">
                  <c:v>0.18906777355765098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4160.0203834628355</c:v>
                </c:pt>
                <c:pt idx="1">
                  <c:v>4452.4528245345655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89E-2"/>
                  <c:y val="-9.80517580481015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298.82853299999999</c:v>
                </c:pt>
                <c:pt idx="1">
                  <c:v>257.69090312345008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6.701921024878725E-2</c:v>
                </c:pt>
                <c:pt idx="1">
                  <c:v>5.4709774907777502E-2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1919.7520446579797</c:v>
                </c:pt>
                <c:pt idx="1">
                  <c:v>2160.8665079999996</c:v>
                </c:pt>
                <c:pt idx="2">
                  <c:v>79.216830804855817</c:v>
                </c:pt>
                <c:pt idx="3" formatCode="#,##0.00">
                  <c:v>0.185</c:v>
                </c:pt>
                <c:pt idx="4">
                  <c:v>54.029865999999998</c:v>
                </c:pt>
                <c:pt idx="5">
                  <c:v>174.344697</c:v>
                </c:pt>
                <c:pt idx="6">
                  <c:v>70.453969999999998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1945.1082555644289</c:v>
                </c:pt>
                <c:pt idx="1">
                  <c:v>2414.5951553638961</c:v>
                </c:pt>
                <c:pt idx="2">
                  <c:v>92.560345832683197</c:v>
                </c:pt>
                <c:pt idx="3" formatCode="#,##0.00">
                  <c:v>0.18906777355765098</c:v>
                </c:pt>
                <c:pt idx="4">
                  <c:v>58.090486250950079</c:v>
                </c:pt>
                <c:pt idx="5">
                  <c:v>128.81123274000001</c:v>
                </c:pt>
                <c:pt idx="6">
                  <c:v>70.789184132499997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64.465718420000002</c:v>
                </c:pt>
                <c:pt idx="1">
                  <c:v>99.200521033785861</c:v>
                </c:pt>
                <c:pt idx="2">
                  <c:v>0</c:v>
                </c:pt>
                <c:pt idx="3">
                  <c:v>121.51408756772673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setiembre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B2" sqref="B2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131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0"/>
      <c r="D8" s="130"/>
      <c r="E8" s="130"/>
      <c r="F8" s="130"/>
      <c r="G8" s="130"/>
      <c r="H8" s="9"/>
      <c r="I8" s="9"/>
      <c r="J8" s="9"/>
      <c r="K8" s="9"/>
    </row>
    <row r="9" spans="2:19" s="1" customFormat="1" ht="26.4">
      <c r="B9" s="8"/>
      <c r="C9" s="180" t="s">
        <v>62</v>
      </c>
      <c r="D9" s="181" t="s">
        <v>69</v>
      </c>
      <c r="E9" s="182" t="s">
        <v>70</v>
      </c>
      <c r="F9" s="183" t="s">
        <v>71</v>
      </c>
      <c r="G9" s="184" t="s">
        <v>72</v>
      </c>
      <c r="H9" s="9"/>
      <c r="I9" s="9"/>
      <c r="J9" s="9"/>
      <c r="K9" s="9"/>
    </row>
    <row r="10" spans="2:19" s="1" customFormat="1" ht="13.8" thickBot="1">
      <c r="B10" s="8"/>
      <c r="C10" s="185" t="s">
        <v>63</v>
      </c>
      <c r="D10" s="186"/>
      <c r="E10" s="187"/>
      <c r="F10" s="188"/>
      <c r="G10" s="189"/>
      <c r="H10" s="9"/>
      <c r="I10" s="9"/>
      <c r="J10" s="9"/>
      <c r="K10" s="9"/>
    </row>
    <row r="11" spans="2:19" s="1" customFormat="1" ht="13.8" thickTop="1">
      <c r="B11" s="8"/>
      <c r="C11" s="131"/>
      <c r="D11" s="132"/>
      <c r="E11" s="133"/>
      <c r="F11" s="134"/>
      <c r="G11" s="135"/>
      <c r="H11" s="9"/>
      <c r="I11" s="9"/>
      <c r="J11" s="9"/>
      <c r="K11" s="9"/>
      <c r="Q11" s="379" t="s">
        <v>64</v>
      </c>
      <c r="R11" s="145" t="s">
        <v>41</v>
      </c>
      <c r="S11" s="146">
        <f>E12</f>
        <v>37.752663319080071</v>
      </c>
    </row>
    <row r="12" spans="2:19" s="1" customFormat="1">
      <c r="B12" s="8"/>
      <c r="C12" s="136" t="s">
        <v>66</v>
      </c>
      <c r="D12" s="137">
        <v>1907.3555922453488</v>
      </c>
      <c r="E12" s="138">
        <v>37.752663319080071</v>
      </c>
      <c r="F12" s="139">
        <f>SUM(D12:E12)</f>
        <v>1945.1082555644289</v>
      </c>
      <c r="G12" s="337">
        <f>(F12/F$16)</f>
        <v>0.41296155022674402</v>
      </c>
      <c r="H12" s="9"/>
      <c r="I12" s="9"/>
      <c r="J12" s="9"/>
      <c r="K12" s="9"/>
      <c r="Q12" s="379"/>
      <c r="R12" s="145" t="s">
        <v>73</v>
      </c>
      <c r="S12" s="146">
        <f>E13</f>
        <v>84.030121581178221</v>
      </c>
    </row>
    <row r="13" spans="2:19" s="1" customFormat="1">
      <c r="B13" s="8"/>
      <c r="C13" s="136" t="s">
        <v>65</v>
      </c>
      <c r="D13" s="137">
        <v>2481.4049336399084</v>
      </c>
      <c r="E13" s="138">
        <v>84.030121581178221</v>
      </c>
      <c r="F13" s="139">
        <f>SUM(D13:E13)</f>
        <v>2565.4350552210867</v>
      </c>
      <c r="G13" s="337">
        <f>(F13/F$16)</f>
        <v>0.5446617350882148</v>
      </c>
      <c r="H13" s="9"/>
      <c r="I13" s="9"/>
      <c r="J13" s="9"/>
      <c r="K13" s="9"/>
      <c r="Q13" s="379" t="s">
        <v>88</v>
      </c>
      <c r="R13" s="145" t="s">
        <v>41</v>
      </c>
      <c r="S13" s="146">
        <f>D12</f>
        <v>1907.3555922453488</v>
      </c>
    </row>
    <row r="14" spans="2:19" s="1" customFormat="1">
      <c r="B14" s="8"/>
      <c r="C14" s="136" t="s">
        <v>67</v>
      </c>
      <c r="D14" s="137">
        <v>128.81123274000001</v>
      </c>
      <c r="E14" s="140"/>
      <c r="F14" s="139">
        <f>SUM(D14:E14)</f>
        <v>128.81123274000001</v>
      </c>
      <c r="G14" s="337">
        <f>(F14/F$16)</f>
        <v>2.734762253296413E-2</v>
      </c>
      <c r="H14" s="9"/>
      <c r="I14" s="9"/>
      <c r="J14" s="9"/>
      <c r="K14" s="9"/>
      <c r="Q14" s="379"/>
      <c r="R14" s="145" t="s">
        <v>73</v>
      </c>
      <c r="S14" s="146">
        <f>D13</f>
        <v>2481.4049336399084</v>
      </c>
    </row>
    <row r="15" spans="2:19" s="1" customFormat="1" ht="13.8" thickBot="1">
      <c r="B15" s="8"/>
      <c r="C15" s="141" t="s">
        <v>5</v>
      </c>
      <c r="D15" s="142">
        <v>70.789184132499997</v>
      </c>
      <c r="E15" s="143"/>
      <c r="F15" s="144">
        <f>SUM(D15:E15)</f>
        <v>70.789184132499997</v>
      </c>
      <c r="G15" s="338">
        <f>(F15/F$16)</f>
        <v>1.5029092152077045E-2</v>
      </c>
      <c r="H15" s="9"/>
      <c r="I15" s="9"/>
      <c r="J15" s="9"/>
      <c r="K15" s="9"/>
      <c r="Q15" s="379"/>
      <c r="R15" s="145" t="s">
        <v>87</v>
      </c>
      <c r="S15" s="146">
        <f>SUM(D14:D15)</f>
        <v>199.60041687250001</v>
      </c>
    </row>
    <row r="16" spans="2:19" s="1" customFormat="1" ht="13.8" thickTop="1">
      <c r="B16" s="8"/>
      <c r="C16" s="246" t="s">
        <v>71</v>
      </c>
      <c r="D16" s="247">
        <f>SUM(D12:D15)</f>
        <v>4588.3609427577576</v>
      </c>
      <c r="E16" s="248">
        <f>SUM(E12:E15)</f>
        <v>121.78278490025829</v>
      </c>
      <c r="F16" s="249">
        <f>SUM(F12:F15)</f>
        <v>4710.1437276580155</v>
      </c>
      <c r="G16" s="250"/>
      <c r="H16" s="9"/>
      <c r="I16" s="9"/>
      <c r="J16" s="9"/>
      <c r="K16" s="9"/>
    </row>
    <row r="17" spans="2:19" s="1" customFormat="1">
      <c r="B17" s="8"/>
      <c r="C17" s="251" t="s">
        <v>109</v>
      </c>
      <c r="D17" s="318">
        <f>D16/F16</f>
        <v>0.97414457138852306</v>
      </c>
      <c r="E17" s="319">
        <f>E16/F16</f>
        <v>2.5855428611477067E-2</v>
      </c>
      <c r="F17" s="252"/>
      <c r="G17" s="253"/>
      <c r="H17" s="9"/>
      <c r="I17" s="9"/>
      <c r="J17" s="9"/>
      <c r="K17" s="9"/>
    </row>
    <row r="18" spans="2:19" s="1" customFormat="1">
      <c r="B18" s="8"/>
      <c r="C18" s="131"/>
      <c r="D18" s="131"/>
      <c r="E18" s="131"/>
      <c r="F18" s="131"/>
      <c r="G18" s="131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1"/>
      <c r="D22" s="131"/>
      <c r="E22" s="131"/>
      <c r="F22" s="131"/>
      <c r="G22" s="131"/>
      <c r="H22" s="130"/>
      <c r="I22" s="130"/>
      <c r="J22" s="130"/>
      <c r="K22" s="9"/>
    </row>
    <row r="23" spans="2:19" s="1" customFormat="1" ht="12.75" customHeight="1">
      <c r="B23" s="8"/>
      <c r="C23" s="386" t="s">
        <v>112</v>
      </c>
      <c r="D23" s="387"/>
      <c r="E23" s="380" t="s">
        <v>125</v>
      </c>
      <c r="F23" s="381"/>
      <c r="G23" s="150" t="s">
        <v>74</v>
      </c>
      <c r="H23" s="384" t="s">
        <v>126</v>
      </c>
      <c r="I23" s="385"/>
      <c r="J23" s="150" t="s">
        <v>74</v>
      </c>
      <c r="K23" s="9"/>
      <c r="Q23" s="145"/>
      <c r="R23" s="145">
        <v>2020</v>
      </c>
      <c r="S23" s="145">
        <v>2021</v>
      </c>
    </row>
    <row r="24" spans="2:19" s="1" customFormat="1" ht="12.75" customHeight="1">
      <c r="B24" s="8"/>
      <c r="C24" s="151"/>
      <c r="D24" s="152"/>
      <c r="E24" s="153">
        <v>2020</v>
      </c>
      <c r="F24" s="154">
        <v>2021</v>
      </c>
      <c r="G24" s="155"/>
      <c r="H24" s="235">
        <v>2020</v>
      </c>
      <c r="I24" s="154">
        <v>2021</v>
      </c>
      <c r="J24" s="155"/>
      <c r="K24" s="9"/>
      <c r="Q24" s="145" t="s">
        <v>76</v>
      </c>
      <c r="R24" s="146">
        <f>E29</f>
        <v>159.10204542732322</v>
      </c>
      <c r="S24" s="146">
        <f>F29</f>
        <v>129.38631778199073</v>
      </c>
    </row>
    <row r="25" spans="2:19" s="1" customFormat="1">
      <c r="B25" s="8"/>
      <c r="C25" s="375" t="s">
        <v>0</v>
      </c>
      <c r="D25" s="376"/>
      <c r="E25" s="190">
        <f>SUM(E26:E28)</f>
        <v>4299.7468710355115</v>
      </c>
      <c r="F25" s="191">
        <f>SUM(F26:F28)</f>
        <v>4580.7574098760251</v>
      </c>
      <c r="G25" s="192">
        <f>((F25/E25)-1)</f>
        <v>6.5355135376338414E-2</v>
      </c>
      <c r="H25" s="236">
        <f>SUM(H26:H28)</f>
        <v>36860.068946364321</v>
      </c>
      <c r="I25" s="191">
        <f>SUM(I26:I28)</f>
        <v>41309.556404072719</v>
      </c>
      <c r="J25" s="192">
        <f>((I25/H25)-1)</f>
        <v>0.12071294451952652</v>
      </c>
      <c r="K25" s="9"/>
      <c r="Q25" s="145" t="s">
        <v>0</v>
      </c>
      <c r="R25" s="146">
        <f>E25</f>
        <v>4299.7468710355115</v>
      </c>
      <c r="S25" s="146">
        <f>F25</f>
        <v>4580.7574098760251</v>
      </c>
    </row>
    <row r="26" spans="2:19" s="1" customFormat="1">
      <c r="B26" s="8"/>
      <c r="C26" s="266" t="s">
        <v>62</v>
      </c>
      <c r="D26" s="275" t="s">
        <v>102</v>
      </c>
      <c r="E26" s="157">
        <v>4191.7720010649991</v>
      </c>
      <c r="F26" s="158">
        <v>4468.1458860575049</v>
      </c>
      <c r="G26" s="159">
        <f t="shared" ref="G26:G32" si="0">((F26/E26)-1)</f>
        <v>6.5932470783784947E-2</v>
      </c>
      <c r="H26" s="237">
        <v>35759.498642517494</v>
      </c>
      <c r="I26" s="158">
        <v>40147.634605706495</v>
      </c>
      <c r="J26" s="159">
        <f t="shared" ref="J26:J32" si="1">((I26/H26)-1)</f>
        <v>0.12271245766213212</v>
      </c>
      <c r="K26" s="9"/>
    </row>
    <row r="27" spans="2:19" s="1" customFormat="1">
      <c r="B27" s="8"/>
      <c r="C27" s="267" t="s">
        <v>106</v>
      </c>
      <c r="D27" s="276" t="s">
        <v>77</v>
      </c>
      <c r="E27" s="269">
        <v>71.910058595973823</v>
      </c>
      <c r="F27" s="270">
        <v>79.146868320184964</v>
      </c>
      <c r="G27" s="279">
        <f t="shared" si="0"/>
        <v>0.10063696046850845</v>
      </c>
      <c r="H27" s="271">
        <v>759.64258187918733</v>
      </c>
      <c r="I27" s="270">
        <v>787.17364495588492</v>
      </c>
      <c r="J27" s="279">
        <f t="shared" si="1"/>
        <v>3.6242127196966623E-2</v>
      </c>
      <c r="K27" s="9"/>
    </row>
    <row r="28" spans="2:19" s="1" customFormat="1">
      <c r="B28" s="8"/>
      <c r="C28" s="268" t="s">
        <v>64</v>
      </c>
      <c r="D28" s="277" t="s">
        <v>77</v>
      </c>
      <c r="E28" s="157">
        <v>36.064811374538557</v>
      </c>
      <c r="F28" s="158">
        <v>33.464655498335532</v>
      </c>
      <c r="G28" s="278">
        <f t="shared" si="0"/>
        <v>-7.2096755177782912E-2</v>
      </c>
      <c r="H28" s="237">
        <v>340.9277219676336</v>
      </c>
      <c r="I28" s="158">
        <v>374.74815341033548</v>
      </c>
      <c r="J28" s="278">
        <f t="shared" si="1"/>
        <v>9.9201177444621758E-2</v>
      </c>
      <c r="K28" s="9"/>
    </row>
    <row r="29" spans="2:19" s="1" customFormat="1">
      <c r="B29" s="8"/>
      <c r="C29" s="375" t="s">
        <v>76</v>
      </c>
      <c r="D29" s="376"/>
      <c r="E29" s="190">
        <f>SUM(E30:E31)</f>
        <v>159.10204542732322</v>
      </c>
      <c r="F29" s="191">
        <f>SUM(F30:F31)</f>
        <v>129.38631778199073</v>
      </c>
      <c r="G29" s="192">
        <f t="shared" si="0"/>
        <v>-0.18677149979763419</v>
      </c>
      <c r="H29" s="236">
        <f>SUM(H30:H31)</f>
        <v>1562.1510440999532</v>
      </c>
      <c r="I29" s="191">
        <f>SUM(I30:I31)</f>
        <v>1352.4512806464511</v>
      </c>
      <c r="J29" s="192">
        <f t="shared" si="1"/>
        <v>-0.13423782818281982</v>
      </c>
      <c r="K29" s="9"/>
      <c r="Q29" s="145"/>
      <c r="R29" s="145"/>
      <c r="S29" s="145"/>
    </row>
    <row r="30" spans="2:19" s="1" customFormat="1">
      <c r="B30" s="8"/>
      <c r="C30" s="272" t="s">
        <v>68</v>
      </c>
      <c r="D30" s="152"/>
      <c r="E30" s="157">
        <v>39.157169372779407</v>
      </c>
      <c r="F30" s="158">
        <v>41.068188380067966</v>
      </c>
      <c r="G30" s="278">
        <f t="shared" si="0"/>
        <v>4.8803808801793247E-2</v>
      </c>
      <c r="H30" s="237">
        <v>333.67362528621589</v>
      </c>
      <c r="I30" s="158">
        <v>355.52275528756797</v>
      </c>
      <c r="J30" s="278">
        <f t="shared" si="1"/>
        <v>6.5480542499007921E-2</v>
      </c>
      <c r="K30" s="9"/>
    </row>
    <row r="31" spans="2:19" s="1" customFormat="1" ht="13.8" thickBot="1">
      <c r="B31" s="8"/>
      <c r="C31" s="273" t="s">
        <v>64</v>
      </c>
      <c r="D31" s="274"/>
      <c r="E31" s="161">
        <v>119.9448760545438</v>
      </c>
      <c r="F31" s="162">
        <v>88.318129401922761</v>
      </c>
      <c r="G31" s="163">
        <f t="shared" si="0"/>
        <v>-0.26367734656909458</v>
      </c>
      <c r="H31" s="238">
        <v>1228.4774188137374</v>
      </c>
      <c r="I31" s="162">
        <v>996.92852535888312</v>
      </c>
      <c r="J31" s="302">
        <f t="shared" si="1"/>
        <v>-0.1884844523055591</v>
      </c>
      <c r="K31" s="9"/>
    </row>
    <row r="32" spans="2:19" s="1" customFormat="1" ht="14.4" thickTop="1" thickBot="1">
      <c r="B32" s="8"/>
      <c r="C32" s="370" t="s">
        <v>108</v>
      </c>
      <c r="D32" s="371"/>
      <c r="E32" s="193">
        <f>SUM(E25,E29)</f>
        <v>4458.8489164628345</v>
      </c>
      <c r="F32" s="194">
        <f>SUM(F25,F29)</f>
        <v>4710.1437276580155</v>
      </c>
      <c r="G32" s="195">
        <f t="shared" si="0"/>
        <v>5.6358673707771922E-2</v>
      </c>
      <c r="H32" s="239">
        <f>SUM(H25,H29)</f>
        <v>38422.219990464277</v>
      </c>
      <c r="I32" s="194">
        <f>SUM(I25,I29)</f>
        <v>42662.007684719167</v>
      </c>
      <c r="J32" s="195">
        <f t="shared" si="1"/>
        <v>0.11034728590141674</v>
      </c>
      <c r="K32" s="9"/>
    </row>
    <row r="33" spans="2:19" s="1" customFormat="1">
      <c r="B33" s="8"/>
      <c r="C33" s="313" t="s">
        <v>103</v>
      </c>
      <c r="D33" s="164"/>
      <c r="E33" s="164"/>
      <c r="F33" s="165"/>
      <c r="G33" s="130"/>
      <c r="H33" s="164"/>
      <c r="I33" s="164"/>
      <c r="J33" s="130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8"/>
      <c r="D38" s="149"/>
      <c r="E38" s="380" t="s">
        <v>125</v>
      </c>
      <c r="F38" s="381"/>
      <c r="G38" s="382" t="s">
        <v>74</v>
      </c>
      <c r="H38" s="384" t="s">
        <v>126</v>
      </c>
      <c r="I38" s="385"/>
      <c r="J38" s="382" t="s">
        <v>74</v>
      </c>
      <c r="K38" s="9"/>
      <c r="Q38" s="145"/>
      <c r="R38" s="145">
        <v>2020</v>
      </c>
      <c r="S38" s="145">
        <v>2021</v>
      </c>
    </row>
    <row r="39" spans="2:19" s="1" customFormat="1" ht="12.75" customHeight="1">
      <c r="B39" s="8"/>
      <c r="C39" s="151" t="s">
        <v>75</v>
      </c>
      <c r="D39" s="152"/>
      <c r="E39" s="153">
        <v>2020</v>
      </c>
      <c r="F39" s="154">
        <v>2021</v>
      </c>
      <c r="G39" s="383"/>
      <c r="H39" s="240">
        <v>2020</v>
      </c>
      <c r="I39" s="93">
        <v>2021</v>
      </c>
      <c r="J39" s="383"/>
      <c r="K39" s="9"/>
      <c r="Q39" s="145" t="s">
        <v>66</v>
      </c>
      <c r="R39" s="146">
        <f>SUM(E41,E46)</f>
        <v>1919.7520446579797</v>
      </c>
      <c r="S39" s="146">
        <f>SUM(F41,F46)</f>
        <v>1945.1082555644289</v>
      </c>
    </row>
    <row r="40" spans="2:19" s="1" customFormat="1">
      <c r="B40" s="8"/>
      <c r="C40" s="375" t="s">
        <v>68</v>
      </c>
      <c r="D40" s="376"/>
      <c r="E40" s="190">
        <f>SUM(E41:E44)</f>
        <v>4302.8392290337524</v>
      </c>
      <c r="F40" s="191">
        <f>SUM(F41:F44)</f>
        <v>4588.3609427577576</v>
      </c>
      <c r="G40" s="192">
        <f>((F40/E40)-1)</f>
        <v>6.6356584228716819E-2</v>
      </c>
      <c r="H40" s="236">
        <f>SUM(H41:H44)</f>
        <v>36852.814849682909</v>
      </c>
      <c r="I40" s="191">
        <f>SUM(I41:I44)</f>
        <v>41290.331005949956</v>
      </c>
      <c r="J40" s="192">
        <f>((I40/H40)-1)</f>
        <v>0.12041186472097198</v>
      </c>
      <c r="K40" s="9"/>
      <c r="Q40" s="145" t="s">
        <v>65</v>
      </c>
      <c r="R40" s="146">
        <f>SUM(E42,E47)</f>
        <v>2294.2982048048557</v>
      </c>
      <c r="S40" s="146">
        <f>SUM(F42,F47)</f>
        <v>2565.4350552210867</v>
      </c>
    </row>
    <row r="41" spans="2:19" s="1" customFormat="1">
      <c r="B41" s="8"/>
      <c r="C41" s="156" t="s">
        <v>66</v>
      </c>
      <c r="D41" s="131"/>
      <c r="E41" s="157">
        <v>1874.2220820337529</v>
      </c>
      <c r="F41" s="158">
        <f>D12</f>
        <v>1907.3555922453488</v>
      </c>
      <c r="G41" s="278">
        <f t="shared" ref="G41:G48" si="2">((F41/E41)-1)</f>
        <v>1.767854008829195E-2</v>
      </c>
      <c r="H41" s="237">
        <v>23205.458469682904</v>
      </c>
      <c r="I41" s="158">
        <v>23539.198698921547</v>
      </c>
      <c r="J41" s="278">
        <f t="shared" ref="J41:J48" si="3">((I41/H41)-1)</f>
        <v>1.4381970934755017E-2</v>
      </c>
      <c r="K41" s="9"/>
      <c r="Q41" s="145" t="s">
        <v>67</v>
      </c>
      <c r="R41" s="146">
        <f>E43</f>
        <v>174.344697</v>
      </c>
      <c r="S41" s="146">
        <f>F43</f>
        <v>128.81123274000001</v>
      </c>
    </row>
    <row r="42" spans="2:19" s="1" customFormat="1">
      <c r="B42" s="8"/>
      <c r="C42" s="156" t="s">
        <v>65</v>
      </c>
      <c r="D42" s="131"/>
      <c r="E42" s="157">
        <v>2183.8184799999999</v>
      </c>
      <c r="F42" s="158">
        <f>D13</f>
        <v>2481.4049336399084</v>
      </c>
      <c r="G42" s="278">
        <f t="shared" si="2"/>
        <v>0.13626885950699918</v>
      </c>
      <c r="H42" s="237">
        <v>11766.487224</v>
      </c>
      <c r="I42" s="158">
        <v>15856.70505598341</v>
      </c>
      <c r="J42" s="278">
        <f t="shared" si="3"/>
        <v>0.34761588179355929</v>
      </c>
      <c r="K42" s="9"/>
      <c r="Q42" s="145" t="s">
        <v>5</v>
      </c>
      <c r="R42" s="146">
        <f>E44</f>
        <v>70.453969999999998</v>
      </c>
      <c r="S42" s="146">
        <f>F44</f>
        <v>70.789184132499997</v>
      </c>
    </row>
    <row r="43" spans="2:19" s="1" customFormat="1">
      <c r="B43" s="8"/>
      <c r="C43" s="156" t="s">
        <v>67</v>
      </c>
      <c r="D43" s="131"/>
      <c r="E43" s="157">
        <v>174.344697</v>
      </c>
      <c r="F43" s="158">
        <f>D14</f>
        <v>128.81123274000001</v>
      </c>
      <c r="G43" s="278">
        <f t="shared" si="2"/>
        <v>-0.26116919552763906</v>
      </c>
      <c r="H43" s="237">
        <v>1334.3372259999999</v>
      </c>
      <c r="I43" s="158">
        <v>1323.1966018225</v>
      </c>
      <c r="J43" s="278">
        <f t="shared" si="3"/>
        <v>-8.3491818712849719E-3</v>
      </c>
      <c r="K43" s="9"/>
    </row>
    <row r="44" spans="2:19" s="1" customFormat="1">
      <c r="B44" s="8"/>
      <c r="C44" s="156" t="s">
        <v>5</v>
      </c>
      <c r="D44" s="131"/>
      <c r="E44" s="157">
        <v>70.453969999999998</v>
      </c>
      <c r="F44" s="158">
        <f>D15</f>
        <v>70.789184132499997</v>
      </c>
      <c r="G44" s="405">
        <f t="shared" si="2"/>
        <v>4.757916871114487E-3</v>
      </c>
      <c r="H44" s="237">
        <v>546.53192999999999</v>
      </c>
      <c r="I44" s="158">
        <v>571.23064922250001</v>
      </c>
      <c r="J44" s="159">
        <f t="shared" si="3"/>
        <v>4.51917223253544E-2</v>
      </c>
      <c r="K44" s="9"/>
      <c r="Q44" s="145"/>
      <c r="R44" s="145"/>
      <c r="S44" s="145"/>
    </row>
    <row r="45" spans="2:19" s="1" customFormat="1">
      <c r="B45" s="8"/>
      <c r="C45" s="375" t="s">
        <v>64</v>
      </c>
      <c r="D45" s="376"/>
      <c r="E45" s="190">
        <f>SUM(E46:E47)</f>
        <v>156.00968742908236</v>
      </c>
      <c r="F45" s="191">
        <f>SUM(F46:F47)</f>
        <v>121.78278490025829</v>
      </c>
      <c r="G45" s="192">
        <f t="shared" si="2"/>
        <v>-0.21938959748498099</v>
      </c>
      <c r="H45" s="236">
        <f>SUM(H46:H47)</f>
        <v>1569.4051407813713</v>
      </c>
      <c r="I45" s="191">
        <f>SUM(I46:I47)</f>
        <v>1371.6766787692186</v>
      </c>
      <c r="J45" s="192">
        <f t="shared" si="3"/>
        <v>-0.12598943183893752</v>
      </c>
      <c r="K45" s="9"/>
    </row>
    <row r="46" spans="2:19" s="1" customFormat="1">
      <c r="B46" s="8"/>
      <c r="C46" s="156" t="s">
        <v>66</v>
      </c>
      <c r="D46" s="131"/>
      <c r="E46" s="157">
        <v>45.529962624226648</v>
      </c>
      <c r="F46" s="158">
        <f>E12</f>
        <v>37.752663319080071</v>
      </c>
      <c r="G46" s="159">
        <f t="shared" si="2"/>
        <v>-0.17081716867055474</v>
      </c>
      <c r="H46" s="237">
        <v>466.26059902681953</v>
      </c>
      <c r="I46" s="158">
        <v>494.06781978903712</v>
      </c>
      <c r="J46" s="159">
        <f t="shared" si="3"/>
        <v>5.9638796030067498E-2</v>
      </c>
      <c r="K46" s="9"/>
    </row>
    <row r="47" spans="2:19" s="1" customFormat="1" ht="13.8" thickBot="1">
      <c r="B47" s="8"/>
      <c r="C47" s="160" t="s">
        <v>65</v>
      </c>
      <c r="D47" s="131"/>
      <c r="E47" s="161">
        <v>110.47972480485572</v>
      </c>
      <c r="F47" s="162">
        <f>E13</f>
        <v>84.030121581178221</v>
      </c>
      <c r="G47" s="302">
        <f t="shared" si="2"/>
        <v>-0.23940685288994312</v>
      </c>
      <c r="H47" s="238">
        <v>1103.1445417545517</v>
      </c>
      <c r="I47" s="162">
        <v>877.60885898018137</v>
      </c>
      <c r="J47" s="163">
        <f t="shared" si="3"/>
        <v>-0.20444798867032943</v>
      </c>
      <c r="K47" s="9"/>
    </row>
    <row r="48" spans="2:19" s="1" customFormat="1" ht="14.4" thickTop="1" thickBot="1">
      <c r="B48" s="8"/>
      <c r="C48" s="370" t="s">
        <v>108</v>
      </c>
      <c r="D48" s="371"/>
      <c r="E48" s="193">
        <f>SUM(E40,E45)</f>
        <v>4458.8489164628345</v>
      </c>
      <c r="F48" s="194">
        <f>SUM(F40,F45)</f>
        <v>4710.1437276580155</v>
      </c>
      <c r="G48" s="195">
        <f t="shared" si="2"/>
        <v>5.6358673707771922E-2</v>
      </c>
      <c r="H48" s="239">
        <f>SUM(H40,H45)</f>
        <v>38422.219990464277</v>
      </c>
      <c r="I48" s="194">
        <f>SUM(I40,I45)</f>
        <v>42662.007684719174</v>
      </c>
      <c r="J48" s="195">
        <f t="shared" si="3"/>
        <v>0.11034728590141696</v>
      </c>
      <c r="K48" s="9"/>
    </row>
    <row r="49" spans="2:23" s="1" customFormat="1">
      <c r="B49" s="8"/>
      <c r="C49" s="264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9"/>
    </row>
    <row r="53" spans="2:23" s="1" customFormat="1" ht="13.8" thickBot="1">
      <c r="B53" s="8"/>
      <c r="C53" s="10"/>
      <c r="H53" s="9"/>
      <c r="I53" s="9"/>
      <c r="J53" s="9"/>
      <c r="K53" s="9"/>
      <c r="L53" s="259"/>
      <c r="M53" s="259"/>
    </row>
    <row r="54" spans="2:23" s="1" customFormat="1" ht="12.75" customHeight="1">
      <c r="B54" s="8"/>
      <c r="C54" s="148"/>
      <c r="D54" s="149"/>
      <c r="E54" s="380" t="s">
        <v>125</v>
      </c>
      <c r="F54" s="381"/>
      <c r="G54" s="382" t="s">
        <v>74</v>
      </c>
      <c r="H54" s="384" t="s">
        <v>126</v>
      </c>
      <c r="I54" s="385"/>
      <c r="J54" s="382" t="s">
        <v>74</v>
      </c>
      <c r="K54" s="9"/>
      <c r="L54" s="259"/>
      <c r="M54" s="259"/>
    </row>
    <row r="55" spans="2:23" s="1" customFormat="1" ht="12.75" customHeight="1">
      <c r="B55" s="8"/>
      <c r="C55" s="151" t="s">
        <v>75</v>
      </c>
      <c r="D55" s="152"/>
      <c r="E55" s="153">
        <v>2020</v>
      </c>
      <c r="F55" s="154">
        <v>2021</v>
      </c>
      <c r="G55" s="383"/>
      <c r="H55" s="240">
        <v>2020</v>
      </c>
      <c r="I55" s="93">
        <v>2021</v>
      </c>
      <c r="J55" s="383"/>
      <c r="K55" s="9"/>
      <c r="L55" s="259"/>
      <c r="M55" s="259"/>
    </row>
    <row r="56" spans="2:23" s="1" customFormat="1">
      <c r="B56" s="8"/>
      <c r="C56" s="375" t="s">
        <v>68</v>
      </c>
      <c r="D56" s="376"/>
      <c r="E56" s="190">
        <f>SUM(E57:E60)</f>
        <v>4302.8392290337533</v>
      </c>
      <c r="F56" s="191">
        <f>SUM(F57:F60)</f>
        <v>4588.3609427577576</v>
      </c>
      <c r="G56" s="192">
        <f>((F56/E56)-1)</f>
        <v>6.6356584228716597E-2</v>
      </c>
      <c r="H56" s="236">
        <f>SUM(H57:H60)</f>
        <v>36852.814849682902</v>
      </c>
      <c r="I56" s="191">
        <f>SUM(I57:I60)</f>
        <v>41290.331005949956</v>
      </c>
      <c r="J56" s="192">
        <f>((I56/H56)-1)</f>
        <v>0.12041186472097221</v>
      </c>
      <c r="K56" s="9"/>
    </row>
    <row r="57" spans="2:23" s="1" customFormat="1" ht="26.4">
      <c r="B57" s="8"/>
      <c r="C57" s="373" t="s">
        <v>78</v>
      </c>
      <c r="D57" s="280" t="s">
        <v>79</v>
      </c>
      <c r="E57" s="326">
        <f>SUM(E43:E44)+31.793656</f>
        <v>276.59232299999996</v>
      </c>
      <c r="F57" s="327">
        <f>SUM(F43:F44)+41.418936736759</f>
        <v>241.01935360925901</v>
      </c>
      <c r="G57" s="170">
        <f t="shared" ref="G57:G65" si="4">((F57/E57)-1)</f>
        <v>-0.12861155727283491</v>
      </c>
      <c r="H57" s="328">
        <f>SUM(H43:H44)+196.575661</f>
        <v>2077.4448169999996</v>
      </c>
      <c r="I57" s="327">
        <f>SUM(I43:I44)+234.366752106759</f>
        <v>2128.7940031517592</v>
      </c>
      <c r="J57" s="170">
        <f t="shared" ref="J57:J65" si="5">((I57/H57)-1)</f>
        <v>2.4717472989685518E-2</v>
      </c>
      <c r="K57" s="9"/>
      <c r="L57" s="259"/>
      <c r="Q57" s="145"/>
      <c r="R57" s="145"/>
      <c r="T57" s="145">
        <v>2020</v>
      </c>
      <c r="U57" s="145">
        <v>2021</v>
      </c>
      <c r="V57" s="145"/>
      <c r="W57" s="145"/>
    </row>
    <row r="58" spans="2:23" s="1" customFormat="1" ht="13.8">
      <c r="B58" s="8"/>
      <c r="C58" s="374"/>
      <c r="D58" s="281" t="s">
        <v>110</v>
      </c>
      <c r="E58" s="269">
        <v>109.20244884</v>
      </c>
      <c r="F58" s="331">
        <v>120.10602936999992</v>
      </c>
      <c r="G58" s="279">
        <f t="shared" si="4"/>
        <v>9.9847399447749563E-2</v>
      </c>
      <c r="H58" s="271">
        <v>1612.4186433725004</v>
      </c>
      <c r="I58" s="270">
        <v>1721.4566291624994</v>
      </c>
      <c r="J58" s="279">
        <f t="shared" si="5"/>
        <v>6.7623868179753632E-2</v>
      </c>
      <c r="K58" s="9"/>
      <c r="L58" s="259"/>
      <c r="M58" s="259"/>
      <c r="Q58" s="379" t="s">
        <v>80</v>
      </c>
      <c r="R58" s="145" t="s">
        <v>66</v>
      </c>
      <c r="T58" s="146">
        <f>SUM(E60,E64)</f>
        <v>1810.5495958179797</v>
      </c>
      <c r="U58" s="146">
        <f>SUM(F60,F64)</f>
        <v>1825.0022261944289</v>
      </c>
      <c r="V58" s="147">
        <f t="shared" ref="V58:W61" si="6">T58/T$64</f>
        <v>0.40605762378113325</v>
      </c>
      <c r="W58" s="147">
        <f t="shared" si="6"/>
        <v>0.38746210980314588</v>
      </c>
    </row>
    <row r="59" spans="2:23" s="1" customFormat="1">
      <c r="B59" s="8"/>
      <c r="C59" s="372" t="s">
        <v>80</v>
      </c>
      <c r="D59" s="282" t="s">
        <v>81</v>
      </c>
      <c r="E59" s="157">
        <f>SUM(E42:E44)-E57</f>
        <v>2152.0248240000001</v>
      </c>
      <c r="F59" s="158">
        <f>SUM(F42:F44)-F57</f>
        <v>2439.9859969031495</v>
      </c>
      <c r="G59" s="278">
        <f t="shared" si="4"/>
        <v>0.13380941041744676</v>
      </c>
      <c r="H59" s="237">
        <f>SUM(H42:H44)-H57</f>
        <v>11569.911563</v>
      </c>
      <c r="I59" s="158">
        <f>SUM(I42:I44)-I57</f>
        <v>15622.33830387665</v>
      </c>
      <c r="J59" s="278">
        <f t="shared" si="5"/>
        <v>0.35025563668404414</v>
      </c>
      <c r="K59" s="9"/>
      <c r="Q59" s="379"/>
      <c r="R59" s="145" t="s">
        <v>65</v>
      </c>
      <c r="T59" s="146">
        <f>SUM(E59,E63)</f>
        <v>2240.2683388048558</v>
      </c>
      <c r="U59" s="146">
        <f>SUM(F59,F63)</f>
        <v>2507.3445689701366</v>
      </c>
      <c r="V59" s="147">
        <f t="shared" si="6"/>
        <v>0.50243199103100367</v>
      </c>
      <c r="W59" s="147">
        <f t="shared" si="6"/>
        <v>0.53232867486547852</v>
      </c>
    </row>
    <row r="60" spans="2:23" s="1" customFormat="1">
      <c r="B60" s="8"/>
      <c r="C60" s="372"/>
      <c r="D60" s="283" t="s">
        <v>41</v>
      </c>
      <c r="E60" s="157">
        <f>E41-E58</f>
        <v>1765.019633193753</v>
      </c>
      <c r="F60" s="158">
        <f>F41-F58</f>
        <v>1787.2495628753488</v>
      </c>
      <c r="G60" s="159">
        <f t="shared" si="4"/>
        <v>1.2594720910481527E-2</v>
      </c>
      <c r="H60" s="237">
        <f>H41-H58</f>
        <v>21593.039826310403</v>
      </c>
      <c r="I60" s="158">
        <f>I41-I58</f>
        <v>21817.74206975905</v>
      </c>
      <c r="J60" s="278">
        <f t="shared" si="5"/>
        <v>1.040623484493608E-2</v>
      </c>
      <c r="K60" s="9"/>
      <c r="Q60" s="379" t="s">
        <v>78</v>
      </c>
      <c r="R60" s="145" t="s">
        <v>66</v>
      </c>
      <c r="T60" s="146">
        <f>E58</f>
        <v>109.20244884</v>
      </c>
      <c r="U60" s="146">
        <f>F58</f>
        <v>120.10602936999992</v>
      </c>
      <c r="V60" s="147">
        <f t="shared" si="6"/>
        <v>2.4491174939075828E-2</v>
      </c>
      <c r="W60" s="147">
        <f t="shared" si="6"/>
        <v>2.5499440423598117E-2</v>
      </c>
    </row>
    <row r="61" spans="2:23" s="1" customFormat="1">
      <c r="B61" s="8"/>
      <c r="C61" s="375" t="s">
        <v>64</v>
      </c>
      <c r="D61" s="376"/>
      <c r="E61" s="190">
        <f>SUM(E62:E64)</f>
        <v>156.00968742908236</v>
      </c>
      <c r="F61" s="191">
        <f>SUM(F62:F64)</f>
        <v>121.78278490025829</v>
      </c>
      <c r="G61" s="192">
        <f t="shared" si="4"/>
        <v>-0.21938959748498099</v>
      </c>
      <c r="H61" s="236">
        <f>SUM(H62:H64)</f>
        <v>1569.4051407813713</v>
      </c>
      <c r="I61" s="191">
        <f>SUM(I62:I64)</f>
        <v>1371.6766787692186</v>
      </c>
      <c r="J61" s="192">
        <f t="shared" si="5"/>
        <v>-0.12598943183893752</v>
      </c>
      <c r="K61" s="9"/>
      <c r="Q61" s="379"/>
      <c r="R61" s="145" t="s">
        <v>89</v>
      </c>
      <c r="T61" s="146">
        <f>E57+E62</f>
        <v>298.82853299999999</v>
      </c>
      <c r="U61" s="146">
        <f>F57+F62</f>
        <v>257.69090312345008</v>
      </c>
      <c r="V61" s="147">
        <f t="shared" si="6"/>
        <v>6.701921024878725E-2</v>
      </c>
      <c r="W61" s="147">
        <f t="shared" si="6"/>
        <v>5.4709774907777502E-2</v>
      </c>
    </row>
    <row r="62" spans="2:23" s="1" customFormat="1">
      <c r="B62" s="8"/>
      <c r="C62" s="314" t="s">
        <v>78</v>
      </c>
      <c r="D62" s="315" t="s">
        <v>114</v>
      </c>
      <c r="E62" s="354">
        <v>22.23621</v>
      </c>
      <c r="F62" s="329">
        <v>16.671549514191096</v>
      </c>
      <c r="G62" s="316">
        <f t="shared" si="4"/>
        <v>-0.25025220061372433</v>
      </c>
      <c r="H62" s="330">
        <v>167.41670999999999</v>
      </c>
      <c r="I62" s="329">
        <v>117.04233171419108</v>
      </c>
      <c r="J62" s="316">
        <f t="shared" si="5"/>
        <v>-0.30089217668779256</v>
      </c>
      <c r="K62" s="9"/>
      <c r="Q62" s="145"/>
      <c r="R62" s="145"/>
      <c r="T62" s="145"/>
      <c r="U62" s="145"/>
      <c r="V62" s="145"/>
      <c r="W62" s="145"/>
    </row>
    <row r="63" spans="2:23" s="1" customFormat="1">
      <c r="B63" s="8"/>
      <c r="C63" s="377" t="s">
        <v>80</v>
      </c>
      <c r="D63" s="282" t="s">
        <v>81</v>
      </c>
      <c r="E63" s="157">
        <f>E47-E62</f>
        <v>88.243514804855721</v>
      </c>
      <c r="F63" s="158">
        <f>F47-F62</f>
        <v>67.358572066987122</v>
      </c>
      <c r="G63" s="335">
        <f t="shared" ref="G63" si="7">((F63/E63)-1)</f>
        <v>-0.23667396730574675</v>
      </c>
      <c r="H63" s="237">
        <f>H47-H62</f>
        <v>935.72783175455174</v>
      </c>
      <c r="I63" s="158">
        <f>I47-I62</f>
        <v>760.56652726599032</v>
      </c>
      <c r="J63" s="278">
        <f t="shared" ref="J63" si="8">((I63/H63)-1)</f>
        <v>-0.18719257731184757</v>
      </c>
      <c r="K63" s="9"/>
      <c r="Q63" s="145"/>
      <c r="R63" s="145"/>
      <c r="T63" s="145"/>
      <c r="U63" s="145"/>
      <c r="V63" s="145"/>
      <c r="W63" s="145"/>
    </row>
    <row r="64" spans="2:23" s="1" customFormat="1" ht="13.8" thickBot="1">
      <c r="B64" s="8"/>
      <c r="C64" s="378"/>
      <c r="D64" s="284" t="s">
        <v>41</v>
      </c>
      <c r="E64" s="161">
        <f>E46</f>
        <v>45.529962624226648</v>
      </c>
      <c r="F64" s="162">
        <f>F46</f>
        <v>37.752663319080071</v>
      </c>
      <c r="G64" s="163">
        <f t="shared" si="4"/>
        <v>-0.17081716867055474</v>
      </c>
      <c r="H64" s="238">
        <f>H46</f>
        <v>466.26059902681953</v>
      </c>
      <c r="I64" s="162">
        <f>I46</f>
        <v>494.06781978903712</v>
      </c>
      <c r="J64" s="163">
        <f t="shared" si="5"/>
        <v>5.9638796030067498E-2</v>
      </c>
      <c r="K64" s="9"/>
      <c r="Q64" s="145"/>
      <c r="R64" s="145"/>
      <c r="T64" s="146">
        <f>SUM(T58:T61)</f>
        <v>4458.8489164628354</v>
      </c>
      <c r="U64" s="146">
        <f>SUM(U58:U61)</f>
        <v>4710.1437276580155</v>
      </c>
      <c r="V64" s="145"/>
      <c r="W64" s="145"/>
    </row>
    <row r="65" spans="2:22" s="1" customFormat="1" ht="14.4" thickTop="1" thickBot="1">
      <c r="B65" s="8"/>
      <c r="C65" s="370" t="s">
        <v>108</v>
      </c>
      <c r="D65" s="371"/>
      <c r="E65" s="193">
        <f>SUM(E56,E61)</f>
        <v>4458.8489164628354</v>
      </c>
      <c r="F65" s="194">
        <f>SUM(F56,F61)</f>
        <v>4710.1437276580155</v>
      </c>
      <c r="G65" s="195">
        <f t="shared" si="4"/>
        <v>5.63586737077717E-2</v>
      </c>
      <c r="H65" s="239">
        <f>SUM(H56,H61)</f>
        <v>38422.219990464277</v>
      </c>
      <c r="I65" s="194">
        <f>SUM(I56,I61)</f>
        <v>42662.007684719174</v>
      </c>
      <c r="J65" s="195">
        <f t="shared" si="5"/>
        <v>0.11034728590141696</v>
      </c>
      <c r="K65" s="9"/>
      <c r="Q65" s="145"/>
      <c r="R65" s="145"/>
      <c r="S65" s="145"/>
      <c r="T65" s="145"/>
      <c r="U65" s="145"/>
      <c r="V65" s="145"/>
    </row>
    <row r="66" spans="2:22" s="1" customFormat="1">
      <c r="B66" s="8"/>
      <c r="C66" s="264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zoomScale="120" zoomScaleNormal="100" zoomScaleSheetLayoutView="120" workbookViewId="0">
      <selection activeCell="B2" sqref="B2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1945.1082555644289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2414.5951553638961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92.560345832683197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58.090486250950079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128.81123274000001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70.789184132499997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5">
        <f t="shared" si="0"/>
        <v>0.18906777355765098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4710.1437276580155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0"/>
      <c r="G23" s="263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3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0"/>
      <c r="D25" s="130"/>
      <c r="E25" s="166"/>
      <c r="F25" s="166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4" t="s">
        <v>61</v>
      </c>
      <c r="D26" s="394" t="s">
        <v>125</v>
      </c>
      <c r="E26" s="394"/>
      <c r="F26" s="390" t="s">
        <v>74</v>
      </c>
      <c r="G26" s="388" t="s">
        <v>126</v>
      </c>
      <c r="H26" s="389"/>
      <c r="I26" s="390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5"/>
      <c r="D27" s="95">
        <v>2020</v>
      </c>
      <c r="E27" s="96">
        <v>2021</v>
      </c>
      <c r="F27" s="391"/>
      <c r="G27" s="241">
        <v>2020</v>
      </c>
      <c r="H27" s="96">
        <v>2021</v>
      </c>
      <c r="I27" s="391"/>
      <c r="J27" s="20"/>
      <c r="K27" s="54"/>
      <c r="L27" s="54"/>
      <c r="M27" s="55" t="s">
        <v>85</v>
      </c>
      <c r="N27" s="70">
        <f t="shared" ref="N27:O29" si="1">D28</f>
        <v>1919.7520446579797</v>
      </c>
      <c r="O27" s="70">
        <f t="shared" si="1"/>
        <v>1945.1082555644289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7" t="s">
        <v>85</v>
      </c>
      <c r="D28" s="168">
        <f>'Resumen (G)'!E41+'Resumen (G)'!E46</f>
        <v>1919.7520446579797</v>
      </c>
      <c r="E28" s="169">
        <f>'Resumen (G)'!F41+'Resumen (G)'!F46</f>
        <v>1945.1082555644289</v>
      </c>
      <c r="F28" s="170">
        <f>+E28/D28-1</f>
        <v>1.3208065581701955E-2</v>
      </c>
      <c r="G28" s="254">
        <f>'Resumen (G)'!H41+'Resumen (G)'!H46</f>
        <v>23671.719068709725</v>
      </c>
      <c r="H28" s="169">
        <f>'Resumen (G)'!I41+'Resumen (G)'!I46</f>
        <v>24033.266518710585</v>
      </c>
      <c r="I28" s="357">
        <f>+H28/G28-1</f>
        <v>1.5273392226032634E-2</v>
      </c>
      <c r="J28" s="303"/>
      <c r="K28" s="54"/>
      <c r="L28" s="54"/>
      <c r="M28" s="55" t="s">
        <v>2</v>
      </c>
      <c r="N28" s="70">
        <f t="shared" si="1"/>
        <v>2160.8665079999996</v>
      </c>
      <c r="O28" s="70">
        <f t="shared" si="1"/>
        <v>2414.5951553638961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1" t="s">
        <v>2</v>
      </c>
      <c r="D29" s="172">
        <v>2160.8665079999996</v>
      </c>
      <c r="E29" s="173">
        <v>2414.5951553638961</v>
      </c>
      <c r="F29" s="174">
        <f t="shared" ref="F29:F35" si="2">+E29/D29-1</f>
        <v>0.11741986208983191</v>
      </c>
      <c r="G29" s="255">
        <v>11735.510848000002</v>
      </c>
      <c r="H29" s="173">
        <v>15588.734569121398</v>
      </c>
      <c r="I29" s="174">
        <f t="shared" ref="I29:I35" si="3">+H29/G29-1</f>
        <v>0.32833881464802817</v>
      </c>
      <c r="J29" s="261"/>
      <c r="K29" s="262"/>
      <c r="L29" s="54"/>
      <c r="M29" s="55" t="s">
        <v>84</v>
      </c>
      <c r="N29" s="70">
        <f t="shared" si="1"/>
        <v>79.216830804855817</v>
      </c>
      <c r="O29" s="70">
        <f t="shared" si="1"/>
        <v>92.560345832683197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1" t="s">
        <v>3</v>
      </c>
      <c r="D30" s="172">
        <f>'Resumen (G)'!E32-SUM('TipoRecurso (G)'!D28:D29,'TipoRecurso (G)'!D31:D34)</f>
        <v>79.216830804855817</v>
      </c>
      <c r="E30" s="173">
        <f>'Resumen (G)'!F32-SUM('TipoRecurso (G)'!E28:E29,'TipoRecurso (G)'!E31:E34)</f>
        <v>92.560345832683197</v>
      </c>
      <c r="F30" s="174">
        <f t="shared" si="2"/>
        <v>0.16844292926459081</v>
      </c>
      <c r="G30" s="255">
        <f>'Resumen (G)'!H32-SUM('TipoRecurso (G)'!G28:G29,'TipoRecurso (G)'!G31:G34)</f>
        <v>768.12054675455147</v>
      </c>
      <c r="H30" s="173">
        <f>'Resumen (G)'!I32-SUM('TipoRecurso (G)'!H28:H29,'TipoRecurso (G)'!H31:H34)</f>
        <v>792.21134313567018</v>
      </c>
      <c r="I30" s="174">
        <f t="shared" si="3"/>
        <v>3.1363301610543681E-2</v>
      </c>
      <c r="J30" s="303"/>
      <c r="K30" s="54"/>
      <c r="L30" s="54"/>
      <c r="M30" s="55" t="s">
        <v>4</v>
      </c>
      <c r="N30" s="99">
        <f>D34</f>
        <v>0.185</v>
      </c>
      <c r="O30" s="99">
        <f>E34</f>
        <v>0.18906777355765098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1" t="s">
        <v>6</v>
      </c>
      <c r="D31" s="172">
        <f>'Resumen (G)'!E57+'Resumen (G)'!E62-SUM('TipoRecurso (G)'!D32:D33)</f>
        <v>54.029865999999998</v>
      </c>
      <c r="E31" s="173">
        <f>'Resumen (G)'!F57+'Resumen (G)'!F62-SUM('TipoRecurso (G)'!E32:E33)</f>
        <v>58.090486250950079</v>
      </c>
      <c r="F31" s="174">
        <f t="shared" si="2"/>
        <v>7.5155104973795073E-2</v>
      </c>
      <c r="G31" s="255">
        <f>'Resumen (G)'!H57+'Resumen (G)'!H62-SUM('TipoRecurso (G)'!G32:G33)</f>
        <v>363.99237099999982</v>
      </c>
      <c r="H31" s="173">
        <f>'Resumen (G)'!I57+'Resumen (G)'!I62-SUM('TipoRecurso (G)'!H32:H33)</f>
        <v>351.4090838209504</v>
      </c>
      <c r="I31" s="174">
        <f t="shared" si="3"/>
        <v>-3.4570194821609168E-2</v>
      </c>
      <c r="J31" s="20"/>
      <c r="K31" s="54"/>
      <c r="L31" s="54"/>
      <c r="M31" s="55" t="s">
        <v>90</v>
      </c>
      <c r="N31" s="70">
        <f t="shared" ref="N31:O33" si="4">D31</f>
        <v>54.029865999999998</v>
      </c>
      <c r="O31" s="70">
        <f t="shared" si="4"/>
        <v>58.090486250950079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1" t="s">
        <v>14</v>
      </c>
      <c r="D32" s="172">
        <f>'Resumen (G)'!E43</f>
        <v>174.344697</v>
      </c>
      <c r="E32" s="173">
        <f>'Resumen (G)'!F43</f>
        <v>128.81123274000001</v>
      </c>
      <c r="F32" s="174">
        <f t="shared" si="2"/>
        <v>-0.26116919552763906</v>
      </c>
      <c r="G32" s="255">
        <f>'Resumen (G)'!H43</f>
        <v>1334.3372259999999</v>
      </c>
      <c r="H32" s="173">
        <f>'Resumen (G)'!I43</f>
        <v>1323.1966018225</v>
      </c>
      <c r="I32" s="174">
        <f t="shared" si="3"/>
        <v>-8.3491818712849719E-3</v>
      </c>
      <c r="J32" s="20"/>
      <c r="K32" s="54"/>
      <c r="L32" s="54"/>
      <c r="M32" s="55" t="s">
        <v>14</v>
      </c>
      <c r="N32" s="70">
        <f t="shared" si="4"/>
        <v>174.344697</v>
      </c>
      <c r="O32" s="70">
        <f t="shared" si="4"/>
        <v>128.81123274000001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1" t="s">
        <v>5</v>
      </c>
      <c r="D33" s="172">
        <f>'Resumen (G)'!E44</f>
        <v>70.453969999999998</v>
      </c>
      <c r="E33" s="173">
        <f>'Resumen (G)'!F44</f>
        <v>70.789184132499997</v>
      </c>
      <c r="F33" s="365">
        <f t="shared" si="2"/>
        <v>4.757916871114487E-3</v>
      </c>
      <c r="G33" s="255">
        <f>'Resumen (G)'!H44</f>
        <v>546.53192999999999</v>
      </c>
      <c r="H33" s="173">
        <f>'Resumen (G)'!I44</f>
        <v>571.23064922250001</v>
      </c>
      <c r="I33" s="174">
        <f t="shared" si="3"/>
        <v>4.51917223253544E-2</v>
      </c>
      <c r="J33" s="20"/>
      <c r="K33" s="54"/>
      <c r="L33" s="54"/>
      <c r="M33" s="55" t="s">
        <v>5</v>
      </c>
      <c r="N33" s="70">
        <f t="shared" si="4"/>
        <v>70.453969999999998</v>
      </c>
      <c r="O33" s="70">
        <f t="shared" si="4"/>
        <v>70.789184132499997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5" t="s">
        <v>4</v>
      </c>
      <c r="D34" s="363">
        <v>0.185</v>
      </c>
      <c r="E34" s="364">
        <v>0.18906777355765098</v>
      </c>
      <c r="F34" s="176">
        <f t="shared" si="2"/>
        <v>2.1987965176491819E-2</v>
      </c>
      <c r="G34" s="362">
        <v>2.008</v>
      </c>
      <c r="H34" s="358">
        <v>1.9589188855576511</v>
      </c>
      <c r="I34" s="176">
        <f t="shared" si="3"/>
        <v>-2.4442786076867007E-2</v>
      </c>
      <c r="J34" s="20"/>
      <c r="K34" s="54"/>
      <c r="L34" s="54"/>
      <c r="M34" s="97"/>
      <c r="N34" s="98">
        <f>SUM(N27:N33)</f>
        <v>4458.8489164628345</v>
      </c>
      <c r="O34" s="98">
        <f>SUM(O27:O33)</f>
        <v>4710.1437276580155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6" t="s">
        <v>108</v>
      </c>
      <c r="D35" s="307">
        <f>SUM(D28:D34)</f>
        <v>4458.8489164628354</v>
      </c>
      <c r="E35" s="308">
        <f>SUM(E28:E34)</f>
        <v>4710.1437276580155</v>
      </c>
      <c r="F35" s="309">
        <f t="shared" si="2"/>
        <v>5.63586737077717E-2</v>
      </c>
      <c r="G35" s="310">
        <f>SUM(G28:G34)</f>
        <v>38422.219990464277</v>
      </c>
      <c r="H35" s="308">
        <f>SUM(H28:H34)</f>
        <v>42662.007684719167</v>
      </c>
      <c r="I35" s="311">
        <f t="shared" si="3"/>
        <v>0.11034728590141674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7"/>
      <c r="D36" s="177"/>
      <c r="E36" s="178"/>
      <c r="F36" s="179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0"/>
      <c r="N39" s="23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0">
        <f t="shared" ref="M40:N46" si="5">N27/N$34</f>
        <v>0.43054879872020918</v>
      </c>
      <c r="N40" s="230">
        <f t="shared" si="5"/>
        <v>0.41296155022674402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0">
        <f t="shared" si="5"/>
        <v>0.48462429395661066</v>
      </c>
      <c r="N41" s="230">
        <f t="shared" si="5"/>
        <v>0.51263725588358733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0">
        <f t="shared" si="5"/>
        <v>1.7766206545454747E-2</v>
      </c>
      <c r="N42" s="230">
        <f t="shared" si="5"/>
        <v>1.9651278428971887E-2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0">
        <f t="shared" si="5"/>
        <v>4.1490528938298018E-5</v>
      </c>
      <c r="N43" s="230">
        <f t="shared" si="5"/>
        <v>4.0140552919318138E-5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0">
        <f t="shared" si="5"/>
        <v>1.2117447128677645E-2</v>
      </c>
      <c r="N44" s="230">
        <f t="shared" si="5"/>
        <v>1.2333060222736328E-2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0">
        <f t="shared" si="5"/>
        <v>3.9100830789823245E-2</v>
      </c>
      <c r="N45" s="230">
        <f t="shared" si="5"/>
        <v>2.734762253296413E-2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0">
        <f t="shared" si="5"/>
        <v>1.5800932330286382E-2</v>
      </c>
      <c r="N46" s="230">
        <f t="shared" si="5"/>
        <v>1.5029092152077045E-2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0">
        <f>N34/N$34</f>
        <v>1</v>
      </c>
      <c r="N47" s="23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1">
        <f>SUM(M39:M46)</f>
        <v>1.0000000000000002</v>
      </c>
      <c r="N49" s="231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2" t="s">
        <v>91</v>
      </c>
      <c r="D53" s="394" t="s">
        <v>125</v>
      </c>
      <c r="E53" s="394"/>
      <c r="F53" s="390" t="s">
        <v>74</v>
      </c>
      <c r="G53" s="388" t="s">
        <v>126</v>
      </c>
      <c r="H53" s="389"/>
      <c r="I53" s="390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3"/>
      <c r="D54" s="95">
        <v>2020</v>
      </c>
      <c r="E54" s="96">
        <v>2021</v>
      </c>
      <c r="F54" s="391"/>
      <c r="G54" s="241">
        <v>2020</v>
      </c>
      <c r="H54" s="96">
        <v>2021</v>
      </c>
      <c r="I54" s="391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9" t="s">
        <v>42</v>
      </c>
      <c r="D55" s="290">
        <f>SUM(D28:D30,D34)</f>
        <v>4160.0203834628355</v>
      </c>
      <c r="E55" s="291">
        <f>SUM(E28:E30,E34)</f>
        <v>4452.4528245345655</v>
      </c>
      <c r="F55" s="292">
        <f>+E55/D55-1</f>
        <v>7.0295915432103451E-2</v>
      </c>
      <c r="G55" s="293">
        <f>SUM(G28:G30,G34)</f>
        <v>36177.358463464276</v>
      </c>
      <c r="H55" s="291">
        <f>SUM(H28:H30,H34)</f>
        <v>40416.171349853212</v>
      </c>
      <c r="I55" s="292">
        <f>+H55/G55-1</f>
        <v>0.1171675618790613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4" t="s">
        <v>104</v>
      </c>
      <c r="D56" s="295">
        <f>SUM(D31:D33)</f>
        <v>298.82853299999999</v>
      </c>
      <c r="E56" s="296">
        <f>SUM(E31:E33)</f>
        <v>257.69090312345008</v>
      </c>
      <c r="F56" s="297">
        <f>+E56/D56-1</f>
        <v>-0.13766299176173347</v>
      </c>
      <c r="G56" s="298">
        <f>SUM(G31:G33)</f>
        <v>2244.8615269999996</v>
      </c>
      <c r="H56" s="296">
        <f>SUM(H31:H33)</f>
        <v>2245.8363348659504</v>
      </c>
      <c r="I56" s="299">
        <f>+H56/G56-1</f>
        <v>4.3423964205646648E-4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4458.8489164628354</v>
      </c>
      <c r="E57" s="101">
        <f>SUM(E55:E56)</f>
        <v>4710.1437276580155</v>
      </c>
      <c r="F57" s="102">
        <f>+E57/D57-1</f>
        <v>5.63586737077717E-2</v>
      </c>
      <c r="G57" s="256">
        <f>SUM(G55:G56)</f>
        <v>38422.219990464277</v>
      </c>
      <c r="H57" s="101">
        <f>SUM(H55:H56)</f>
        <v>42662.007684719159</v>
      </c>
      <c r="I57" s="102">
        <f>+H57/G57-1</f>
        <v>0.11034728590141651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5" t="s">
        <v>8</v>
      </c>
      <c r="D58" s="103">
        <f>+D56/D57</f>
        <v>6.701921024878725E-2</v>
      </c>
      <c r="E58" s="104">
        <f>+E56/E57</f>
        <v>5.4709774907777502E-2</v>
      </c>
      <c r="F58" s="105"/>
      <c r="G58" s="257">
        <f>+G56/G57</f>
        <v>5.8426127578186139E-2</v>
      </c>
      <c r="H58" s="104">
        <f>+H56/H57</f>
        <v>5.2642537394468961E-2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5" t="s">
        <v>105</v>
      </c>
      <c r="D59" s="123"/>
      <c r="E59" s="123"/>
      <c r="F59" s="124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4160.0203834628355</v>
      </c>
      <c r="N63" s="76">
        <f>E55</f>
        <v>4452.4528245345655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298.82853299999999</v>
      </c>
      <c r="N64" s="76">
        <f>E56</f>
        <v>257.69090312345008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5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1"/>
      <c r="D76" s="394" t="s">
        <v>125</v>
      </c>
      <c r="E76" s="394"/>
      <c r="F76" s="106" t="s">
        <v>74</v>
      </c>
      <c r="G76" s="388" t="s">
        <v>126</v>
      </c>
      <c r="H76" s="389"/>
      <c r="I76" s="228" t="s">
        <v>74</v>
      </c>
      <c r="J76" s="19"/>
      <c r="K76" s="57"/>
      <c r="L76" s="57"/>
      <c r="M76" s="55" t="s">
        <v>96</v>
      </c>
      <c r="N76" s="70">
        <f>D78</f>
        <v>2.4411593449999995</v>
      </c>
      <c r="O76" s="70">
        <f>E78</f>
        <v>1.51646327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6" t="s">
        <v>95</v>
      </c>
      <c r="D77" s="127">
        <v>2020</v>
      </c>
      <c r="E77" s="233">
        <v>2021</v>
      </c>
      <c r="F77" s="107"/>
      <c r="G77" s="350">
        <v>2020</v>
      </c>
      <c r="H77" s="96">
        <v>2021</v>
      </c>
      <c r="I77" s="229"/>
      <c r="J77" s="19"/>
      <c r="K77" s="57"/>
      <c r="L77" s="57"/>
      <c r="M77" s="55" t="s">
        <v>97</v>
      </c>
      <c r="N77" s="70">
        <f>D79</f>
        <v>4300.398069688752</v>
      </c>
      <c r="O77" s="70">
        <f>E79</f>
        <v>4586.8444794877578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6" t="s">
        <v>96</v>
      </c>
      <c r="D78" s="359">
        <v>2.4411593449999995</v>
      </c>
      <c r="E78" s="366">
        <v>1.51646327</v>
      </c>
      <c r="F78" s="159">
        <f>((E78/D78)-1)</f>
        <v>-0.37879382060575795</v>
      </c>
      <c r="G78" s="367">
        <v>25.715741342500007</v>
      </c>
      <c r="H78" s="366">
        <v>25.556319072499996</v>
      </c>
      <c r="I78" s="159">
        <f>((H78/G78)-1)</f>
        <v>-6.1994040100463721E-3</v>
      </c>
      <c r="J78" s="19"/>
      <c r="K78" s="260"/>
      <c r="L78" s="57"/>
    </row>
    <row r="79" spans="2:28" ht="16.5" customHeight="1" thickBot="1">
      <c r="C79" s="300" t="s">
        <v>97</v>
      </c>
      <c r="D79" s="161">
        <f>'Resumen (G)'!E40-D78</f>
        <v>4300.398069688752</v>
      </c>
      <c r="E79" s="332">
        <f>'Resumen (G)'!F40-E78</f>
        <v>4586.8444794877578</v>
      </c>
      <c r="F79" s="163">
        <f>((E79/D79)-1)</f>
        <v>6.6609277828956426E-2</v>
      </c>
      <c r="G79" s="238">
        <f>'Resumen (G)'!H40-G78</f>
        <v>36827.099108340408</v>
      </c>
      <c r="H79" s="332">
        <f>'Resumen (G)'!I40-H78</f>
        <v>41264.774686877456</v>
      </c>
      <c r="I79" s="163">
        <f>((H79/G79)-1)</f>
        <v>0.12050027523161688</v>
      </c>
      <c r="J79" s="19"/>
      <c r="K79" s="57"/>
      <c r="L79" s="57"/>
      <c r="M79" s="70"/>
      <c r="N79" s="70"/>
      <c r="O79" s="70"/>
    </row>
    <row r="80" spans="2:28" ht="14.4" thickTop="1" thickBot="1">
      <c r="C80" s="128" t="s">
        <v>94</v>
      </c>
      <c r="D80" s="232">
        <f>SUM(D78:D79)</f>
        <v>4302.8392290337524</v>
      </c>
      <c r="E80" s="333">
        <f>SUM(E78:E79)</f>
        <v>4588.3609427577576</v>
      </c>
      <c r="F80" s="129"/>
      <c r="G80" s="258">
        <f>SUM(G78:G79)</f>
        <v>36852.814849682909</v>
      </c>
      <c r="H80" s="333">
        <f>SUM(H78:H79)</f>
        <v>41290.331005949956</v>
      </c>
      <c r="I80" s="129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Normal="100" zoomScaleSheetLayoutView="100" workbookViewId="0">
      <selection activeCell="B1" sqref="B1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128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8" t="s">
        <v>44</v>
      </c>
      <c r="D8" s="402" t="s">
        <v>125</v>
      </c>
      <c r="E8" s="403"/>
      <c r="F8" s="390" t="s">
        <v>74</v>
      </c>
      <c r="G8" s="388" t="s">
        <v>126</v>
      </c>
      <c r="H8" s="389"/>
      <c r="I8" s="390" t="s">
        <v>74</v>
      </c>
      <c r="J8" s="26"/>
    </row>
    <row r="9" spans="2:13" s="1" customFormat="1" ht="13.5" customHeight="1">
      <c r="B9" s="19"/>
      <c r="C9" s="209"/>
      <c r="D9" s="110">
        <v>2020</v>
      </c>
      <c r="E9" s="96">
        <v>2021</v>
      </c>
      <c r="F9" s="391"/>
      <c r="G9" s="241">
        <v>2020</v>
      </c>
      <c r="H9" s="96">
        <v>2021</v>
      </c>
      <c r="I9" s="391"/>
      <c r="J9" s="26"/>
    </row>
    <row r="10" spans="2:13">
      <c r="C10" s="196" t="s">
        <v>10</v>
      </c>
      <c r="D10" s="197">
        <f>'Por Región (G)'!O8</f>
        <v>243.9796597713439</v>
      </c>
      <c r="E10" s="198">
        <f>'Por Región (G)'!P8</f>
        <v>285.1803270215126</v>
      </c>
      <c r="F10" s="199">
        <f>+E10/D10-1</f>
        <v>0.1688692708596351</v>
      </c>
      <c r="G10" s="345">
        <f>'Por Región (G)'!Q8</f>
        <v>2510.7153347190178</v>
      </c>
      <c r="H10" s="198">
        <f>'Por Región (G)'!R8</f>
        <v>2776.5420516321615</v>
      </c>
      <c r="I10" s="199">
        <f>+H10/G10-1</f>
        <v>0.10587688426370057</v>
      </c>
      <c r="J10" s="26"/>
      <c r="L10" s="145" t="s">
        <v>9</v>
      </c>
      <c r="M10" s="234">
        <f>E11</f>
        <v>3915.5850274395088</v>
      </c>
    </row>
    <row r="11" spans="2:13">
      <c r="C11" s="200" t="s">
        <v>9</v>
      </c>
      <c r="D11" s="201">
        <f>'Por Región (G)'!O9</f>
        <v>3647.3078933078195</v>
      </c>
      <c r="E11" s="202">
        <f>'Por Región (G)'!P9</f>
        <v>3915.5850274395088</v>
      </c>
      <c r="F11" s="203">
        <f>+E11/D11-1</f>
        <v>7.3554836054266604E-2</v>
      </c>
      <c r="G11" s="346">
        <f>'Por Región (G)'!Q9</f>
        <v>30436.891015017147</v>
      </c>
      <c r="H11" s="202">
        <f>'Por Región (G)'!R9</f>
        <v>34355.332372657496</v>
      </c>
      <c r="I11" s="203">
        <f>+H11/G11-1</f>
        <v>0.12873986885543087</v>
      </c>
      <c r="J11" s="26"/>
      <c r="L11" s="145" t="s">
        <v>12</v>
      </c>
      <c r="M11" s="234">
        <f>E12</f>
        <v>475.8511082503253</v>
      </c>
    </row>
    <row r="12" spans="2:13">
      <c r="C12" s="200" t="s">
        <v>12</v>
      </c>
      <c r="D12" s="201">
        <f>'Por Región (G)'!O10</f>
        <v>533.42224546729904</v>
      </c>
      <c r="E12" s="202">
        <f>'Por Región (G)'!P10</f>
        <v>475.8511082503253</v>
      </c>
      <c r="F12" s="203">
        <f>+E12/D12-1</f>
        <v>-0.10792788959624122</v>
      </c>
      <c r="G12" s="346">
        <f>'Por Región (G)'!Q10</f>
        <v>5076.6119642008844</v>
      </c>
      <c r="H12" s="202">
        <f>'Por Región (G)'!R10</f>
        <v>5228.7573939201793</v>
      </c>
      <c r="I12" s="203">
        <f>+H12/G12-1</f>
        <v>2.9969875734483953E-2</v>
      </c>
      <c r="J12" s="26"/>
      <c r="L12" s="145" t="s">
        <v>10</v>
      </c>
      <c r="M12" s="234">
        <f>E10</f>
        <v>285.1803270215126</v>
      </c>
    </row>
    <row r="13" spans="2:13">
      <c r="C13" s="204" t="s">
        <v>11</v>
      </c>
      <c r="D13" s="205">
        <f>'Por Región (G)'!O11</f>
        <v>34.139117916374019</v>
      </c>
      <c r="E13" s="206">
        <f>'Por Región (G)'!P11</f>
        <v>33.527264946666662</v>
      </c>
      <c r="F13" s="207">
        <f>+E13/D13-1</f>
        <v>-1.792234266878634E-2</v>
      </c>
      <c r="G13" s="347">
        <f>'Por Región (G)'!Q11</f>
        <v>398.00167652722928</v>
      </c>
      <c r="H13" s="206">
        <f>'Por Región (G)'!R11</f>
        <v>301.37586650933332</v>
      </c>
      <c r="I13" s="207">
        <f>+H13/G13-1</f>
        <v>-0.24277739445975755</v>
      </c>
      <c r="J13" s="26"/>
      <c r="L13" s="145" t="s">
        <v>11</v>
      </c>
      <c r="M13" s="234">
        <f>E13</f>
        <v>33.527264946666662</v>
      </c>
    </row>
    <row r="14" spans="2:13" ht="13.8" thickBot="1">
      <c r="C14" s="210" t="s">
        <v>108</v>
      </c>
      <c r="D14" s="211">
        <f>SUM(D10:D13)</f>
        <v>4458.8489164628363</v>
      </c>
      <c r="E14" s="212">
        <f>SUM(E10:E13)</f>
        <v>4710.1437276580136</v>
      </c>
      <c r="F14" s="213">
        <f>+E14/D14-1</f>
        <v>5.6358673707771034E-2</v>
      </c>
      <c r="G14" s="348">
        <f>SUM(G10:G13)</f>
        <v>38422.219990464277</v>
      </c>
      <c r="H14" s="212">
        <f>SUM(H10:H13)</f>
        <v>42662.007684719167</v>
      </c>
      <c r="I14" s="213">
        <f>+H14/G14-1</f>
        <v>0.11034728590141674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129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9" t="s">
        <v>93</v>
      </c>
      <c r="D18" s="399"/>
      <c r="E18" s="399"/>
      <c r="F18" s="399"/>
      <c r="G18" s="400" t="s">
        <v>107</v>
      </c>
      <c r="H18" s="401"/>
      <c r="I18" s="401"/>
      <c r="J18" s="401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0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4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5" t="s">
        <v>13</v>
      </c>
      <c r="D54" s="397" t="s">
        <v>130</v>
      </c>
      <c r="E54" s="398"/>
      <c r="F54" s="398"/>
      <c r="G54" s="398"/>
      <c r="H54" s="398"/>
      <c r="I54" s="19"/>
      <c r="J54" s="19"/>
    </row>
    <row r="55" spans="3:13">
      <c r="C55" s="396"/>
      <c r="D55" s="113" t="s">
        <v>14</v>
      </c>
      <c r="E55" s="114" t="s">
        <v>15</v>
      </c>
      <c r="F55" s="114" t="s">
        <v>5</v>
      </c>
      <c r="G55" s="114" t="s">
        <v>16</v>
      </c>
      <c r="H55" s="114" t="s">
        <v>71</v>
      </c>
      <c r="I55" s="19"/>
      <c r="J55" s="19"/>
    </row>
    <row r="56" spans="3:13">
      <c r="C56" s="215" t="s">
        <v>10</v>
      </c>
      <c r="D56" s="341">
        <f>'Resumen (G)'!F14-'PorZona (G)'!D58</f>
        <v>64.465718420000002</v>
      </c>
      <c r="E56" s="219">
        <v>99.200521033785861</v>
      </c>
      <c r="F56" s="219">
        <v>0</v>
      </c>
      <c r="G56" s="219">
        <v>121.51408756772673</v>
      </c>
      <c r="H56" s="219">
        <f>SUM(D56:G56)</f>
        <v>285.1803270215126</v>
      </c>
      <c r="I56" s="336"/>
      <c r="K56" s="312"/>
      <c r="L56" s="325"/>
      <c r="M56" s="325"/>
    </row>
    <row r="57" spans="3:13">
      <c r="C57" s="216" t="s">
        <v>9</v>
      </c>
      <c r="D57" s="342">
        <v>0</v>
      </c>
      <c r="E57" s="220">
        <v>1568.6859532237966</v>
      </c>
      <c r="F57" s="343">
        <v>6.4619999999999999E-3</v>
      </c>
      <c r="G57" s="220">
        <v>2346.8926122157122</v>
      </c>
      <c r="H57" s="220">
        <f>SUM(D57:G57)</f>
        <v>3915.5850274395088</v>
      </c>
      <c r="I57" s="336"/>
      <c r="K57" s="312"/>
      <c r="L57" s="325"/>
      <c r="M57" s="325"/>
    </row>
    <row r="58" spans="3:13">
      <c r="C58" s="216" t="s">
        <v>12</v>
      </c>
      <c r="D58" s="342">
        <v>64.345514320000007</v>
      </c>
      <c r="E58" s="220">
        <v>277.22178130684637</v>
      </c>
      <c r="F58" s="220">
        <f>'Resumen (G)'!D15</f>
        <v>70.789184132499997</v>
      </c>
      <c r="G58" s="220">
        <v>63.494628490978926</v>
      </c>
      <c r="H58" s="220">
        <f>SUM(D58:G58)</f>
        <v>475.8511082503253</v>
      </c>
      <c r="I58" s="336"/>
      <c r="K58" s="312"/>
      <c r="L58" s="325"/>
      <c r="M58" s="325"/>
    </row>
    <row r="59" spans="3:13">
      <c r="C59" s="217" t="s">
        <v>11</v>
      </c>
      <c r="D59" s="344">
        <v>0</v>
      </c>
      <c r="E59" s="221">
        <v>0</v>
      </c>
      <c r="F59" s="221">
        <v>0</v>
      </c>
      <c r="G59" s="221">
        <f>E13</f>
        <v>33.527264946666662</v>
      </c>
      <c r="H59" s="221">
        <f>SUM(D59:G59)</f>
        <v>33.527264946666662</v>
      </c>
      <c r="I59" s="336"/>
      <c r="K59" s="19"/>
      <c r="L59" s="325"/>
      <c r="M59" s="325"/>
    </row>
    <row r="60" spans="3:13" ht="13.8" thickBot="1">
      <c r="C60" s="115" t="s">
        <v>108</v>
      </c>
      <c r="D60" s="222">
        <f>SUM(D56:D59)</f>
        <v>128.81123274000001</v>
      </c>
      <c r="E60" s="223">
        <f>SUM(E56:E59)</f>
        <v>1945.1082555644289</v>
      </c>
      <c r="F60" s="223">
        <f>SUM(F56:F59)</f>
        <v>70.795646132499996</v>
      </c>
      <c r="G60" s="223">
        <f>SUM(G56:G59)</f>
        <v>2565.4285932210842</v>
      </c>
      <c r="H60" s="223">
        <f>SUM(H56:H59)</f>
        <v>4710.1437276580136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39"/>
      <c r="H64" s="122"/>
    </row>
    <row r="65" spans="5:5">
      <c r="E65" s="122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70" zoomScaleNormal="100" zoomScaleSheetLayoutView="70" workbookViewId="0">
      <selection activeCell="B1" sqref="B1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8" t="s">
        <v>60</v>
      </c>
      <c r="D6" s="402" t="s">
        <v>125</v>
      </c>
      <c r="E6" s="403"/>
      <c r="F6" s="390" t="s">
        <v>74</v>
      </c>
      <c r="G6" s="388" t="s">
        <v>126</v>
      </c>
      <c r="H6" s="389"/>
      <c r="I6" s="390" t="s">
        <v>74</v>
      </c>
      <c r="O6" s="47"/>
      <c r="P6" s="86"/>
      <c r="Q6" s="404" t="s">
        <v>116</v>
      </c>
      <c r="R6" s="404"/>
    </row>
    <row r="7" spans="3:19" ht="12.75" customHeight="1">
      <c r="C7" s="109"/>
      <c r="D7" s="110">
        <v>2020</v>
      </c>
      <c r="E7" s="96">
        <v>2021</v>
      </c>
      <c r="F7" s="391"/>
      <c r="G7" s="241">
        <v>2020</v>
      </c>
      <c r="H7" s="96">
        <v>2021</v>
      </c>
      <c r="I7" s="391"/>
      <c r="N7" s="54"/>
      <c r="O7" s="322">
        <v>2020</v>
      </c>
      <c r="P7" s="324">
        <v>2021</v>
      </c>
      <c r="Q7" s="54">
        <v>2020</v>
      </c>
      <c r="R7" s="54">
        <v>2021</v>
      </c>
    </row>
    <row r="8" spans="3:19" ht="20.100000000000001" customHeight="1">
      <c r="C8" s="117" t="s">
        <v>17</v>
      </c>
      <c r="D8" s="360">
        <v>3.1151022198894935</v>
      </c>
      <c r="E8" s="361">
        <v>4.126455888193318</v>
      </c>
      <c r="F8" s="225">
        <f>+E8/D8-1</f>
        <v>0.32466147076859064</v>
      </c>
      <c r="G8" s="355">
        <v>27.902654862655364</v>
      </c>
      <c r="H8" s="356">
        <v>34.832063608193309</v>
      </c>
      <c r="I8" s="225">
        <f>+H8/G8-1</f>
        <v>0.24834227350932814</v>
      </c>
      <c r="J8" s="26"/>
      <c r="K8" s="46"/>
      <c r="L8" s="46"/>
      <c r="N8" s="57" t="s">
        <v>10</v>
      </c>
      <c r="O8" s="71">
        <f>SUM(D8,D13,D20,D21,D27,D29,D31)</f>
        <v>243.9796597713439</v>
      </c>
      <c r="P8" s="71">
        <f t="shared" ref="P8" si="0">SUM(E8,E13,E20,E21,E27,E29,E31)</f>
        <v>285.1803270215126</v>
      </c>
      <c r="Q8" s="71">
        <f>SUM(G8,G13,G20,G21,G27,G29,G31)</f>
        <v>2510.7153347190178</v>
      </c>
      <c r="R8" s="71">
        <f>SUM(H8,H13,H20,H21,H27,H29,H31)</f>
        <v>2776.5420516321615</v>
      </c>
    </row>
    <row r="9" spans="3:19" ht="20.100000000000001" customHeight="1">
      <c r="C9" s="118" t="s">
        <v>18</v>
      </c>
      <c r="D9" s="224">
        <v>97.116383169999992</v>
      </c>
      <c r="E9" s="286">
        <v>104.3094413099799</v>
      </c>
      <c r="F9" s="226">
        <f t="shared" ref="F9:F32" si="1">+E9/D9-1</f>
        <v>7.4066371761277727E-2</v>
      </c>
      <c r="G9" s="242">
        <v>1647.154864071947</v>
      </c>
      <c r="H9" s="286">
        <v>1694.6279782865317</v>
      </c>
      <c r="I9" s="301">
        <f t="shared" ref="I9:I32" si="2">+H9/G9-1</f>
        <v>2.8821281623287121E-2</v>
      </c>
      <c r="J9" s="26"/>
      <c r="K9" s="46"/>
      <c r="L9" s="46"/>
      <c r="N9" s="57" t="s">
        <v>9</v>
      </c>
      <c r="O9" s="322">
        <f>SUM(D9,D14,D16,D17,D19,D22,D26,D32)</f>
        <v>3647.3078933078195</v>
      </c>
      <c r="P9" s="322">
        <f>SUM(E9,E14,E16,E17,E19,E22,E26,E32)</f>
        <v>3915.5850274395088</v>
      </c>
      <c r="Q9" s="322">
        <f>SUM(G9,G14,G16,G17,G19,G22,G26,G32)</f>
        <v>30436.891015017147</v>
      </c>
      <c r="R9" s="322">
        <f>SUM(H9,H14,H16,H17,H19,H22,H26,H32)</f>
        <v>34355.332372657496</v>
      </c>
    </row>
    <row r="10" spans="3:19" ht="20.100000000000001" customHeight="1">
      <c r="C10" s="119" t="s">
        <v>19</v>
      </c>
      <c r="D10" s="352">
        <v>2.5297889999999996</v>
      </c>
      <c r="E10" s="317">
        <v>3.2140306666666669</v>
      </c>
      <c r="F10" s="226">
        <f t="shared" si="1"/>
        <v>0.27047380894875706</v>
      </c>
      <c r="G10" s="242">
        <v>36.429541175149573</v>
      </c>
      <c r="H10" s="286">
        <v>35.312929666666669</v>
      </c>
      <c r="I10" s="226">
        <f t="shared" si="2"/>
        <v>-3.0651264673204337E-2</v>
      </c>
      <c r="J10" s="26"/>
      <c r="K10" s="46"/>
      <c r="L10" s="46"/>
      <c r="N10" s="54" t="s">
        <v>12</v>
      </c>
      <c r="O10" s="322">
        <f>SUM(D10,D11,D12,D15,D18,D24,D25,D28,D30)</f>
        <v>533.42224546729904</v>
      </c>
      <c r="P10" s="322">
        <f t="shared" ref="P10" si="3">SUM(E10,E11,E12,E15,E18,E24,E25,E28,E30)</f>
        <v>475.8511082503253</v>
      </c>
      <c r="Q10" s="322">
        <f>SUM(G10,G11,G12,G15,G18,G24,G25,G28,G30)</f>
        <v>5076.6119642008844</v>
      </c>
      <c r="R10" s="322">
        <f>SUM(H10,H11,H12,H15,H18,H24,H25,H28,H30)</f>
        <v>5228.7573939201793</v>
      </c>
    </row>
    <row r="11" spans="3:19" ht="20.100000000000001" customHeight="1">
      <c r="C11" s="118" t="s">
        <v>20</v>
      </c>
      <c r="D11" s="224">
        <v>93.200482477632235</v>
      </c>
      <c r="E11" s="286">
        <v>98.181988691158566</v>
      </c>
      <c r="F11" s="349">
        <f t="shared" si="1"/>
        <v>5.3449360787610534E-2</v>
      </c>
      <c r="G11" s="242">
        <v>956.73900212412298</v>
      </c>
      <c r="H11" s="286">
        <v>917.75383445037596</v>
      </c>
      <c r="I11" s="226">
        <f t="shared" si="2"/>
        <v>-4.0747965314671286E-2</v>
      </c>
      <c r="J11" s="26"/>
      <c r="K11" s="46"/>
      <c r="L11" s="46"/>
      <c r="N11" s="323" t="s">
        <v>11</v>
      </c>
      <c r="O11" s="71">
        <f>D23</f>
        <v>34.139117916374019</v>
      </c>
      <c r="P11" s="71">
        <f t="shared" ref="P11" si="4">E23</f>
        <v>33.527264946666662</v>
      </c>
      <c r="Q11" s="71">
        <f>G23</f>
        <v>398.00167652722928</v>
      </c>
      <c r="R11" s="71">
        <f>H23</f>
        <v>301.37586650933332</v>
      </c>
    </row>
    <row r="12" spans="3:19" ht="20.100000000000001" customHeight="1">
      <c r="C12" s="118" t="s">
        <v>21</v>
      </c>
      <c r="D12" s="352">
        <v>0.9572949999999999</v>
      </c>
      <c r="E12" s="317">
        <v>0.61070700000000011</v>
      </c>
      <c r="F12" s="226">
        <f t="shared" si="1"/>
        <v>-0.36204931604155444</v>
      </c>
      <c r="G12" s="351">
        <v>8.5188007336121938</v>
      </c>
      <c r="H12" s="317">
        <v>7.1423449999999997</v>
      </c>
      <c r="I12" s="226">
        <f t="shared" si="2"/>
        <v>-0.16157858091235588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4">
        <v>36.73604489042377</v>
      </c>
      <c r="E13" s="286">
        <v>80.31387155276667</v>
      </c>
      <c r="F13" s="226">
        <f t="shared" si="1"/>
        <v>1.1862416542751619</v>
      </c>
      <c r="G13" s="242">
        <v>832.08077928541388</v>
      </c>
      <c r="H13" s="286">
        <v>1045.8341354870618</v>
      </c>
      <c r="I13" s="226">
        <f t="shared" si="2"/>
        <v>0.25689014999867932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4">
        <v>334.74553446531075</v>
      </c>
      <c r="E14" s="286">
        <v>328.88534464031073</v>
      </c>
      <c r="F14" s="226">
        <f t="shared" si="1"/>
        <v>-1.7506401793710324E-2</v>
      </c>
      <c r="G14" s="242">
        <v>1810.0890271877968</v>
      </c>
      <c r="H14" s="286">
        <v>2232.6065650977971</v>
      </c>
      <c r="I14" s="226">
        <f t="shared" si="2"/>
        <v>0.23342362257531324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4">
        <v>136.43281769466671</v>
      </c>
      <c r="E15" s="286">
        <v>122.80520985999998</v>
      </c>
      <c r="F15" s="226">
        <f t="shared" si="1"/>
        <v>-9.9885116095490889E-2</v>
      </c>
      <c r="G15" s="242">
        <v>1433.164527228</v>
      </c>
      <c r="H15" s="286">
        <v>1549.5727273781363</v>
      </c>
      <c r="I15" s="349">
        <f t="shared" si="2"/>
        <v>8.1224589318639406E-2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4">
        <v>752.04220701412623</v>
      </c>
      <c r="E16" s="286">
        <v>725.99294351836681</v>
      </c>
      <c r="F16" s="226">
        <f t="shared" si="1"/>
        <v>-3.4638033946504443E-2</v>
      </c>
      <c r="G16" s="242">
        <v>7825.9102073740341</v>
      </c>
      <c r="H16" s="286">
        <v>7798.394239402186</v>
      </c>
      <c r="I16" s="301">
        <f t="shared" si="2"/>
        <v>-3.5160086485429565E-3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4">
        <v>60.130763133333325</v>
      </c>
      <c r="E17" s="286">
        <v>82.862323465005588</v>
      </c>
      <c r="F17" s="226">
        <f t="shared" si="1"/>
        <v>0.37803545385358794</v>
      </c>
      <c r="G17" s="242">
        <v>1770.0481127279995</v>
      </c>
      <c r="H17" s="286">
        <v>1774.2592224023774</v>
      </c>
      <c r="I17" s="301">
        <f t="shared" si="2"/>
        <v>2.3790933388176949E-3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4">
        <v>154.44726406666669</v>
      </c>
      <c r="E18" s="286">
        <v>109.37789772583335</v>
      </c>
      <c r="F18" s="226">
        <f t="shared" si="1"/>
        <v>-0.2918107135998167</v>
      </c>
      <c r="G18" s="242">
        <v>1217.2001345999997</v>
      </c>
      <c r="H18" s="286">
        <v>1258.8559444016666</v>
      </c>
      <c r="I18" s="226">
        <f t="shared" si="2"/>
        <v>3.4222646397715106E-2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4">
        <v>156.9765632116667</v>
      </c>
      <c r="E19" s="286">
        <v>159.21312509682724</v>
      </c>
      <c r="F19" s="226">
        <f t="shared" si="1"/>
        <v>1.4247743990577488E-2</v>
      </c>
      <c r="G19" s="242">
        <v>2194.7535739450004</v>
      </c>
      <c r="H19" s="286">
        <v>2276.1643717495822</v>
      </c>
      <c r="I19" s="301">
        <f t="shared" si="2"/>
        <v>3.709336609405689E-2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4">
        <v>69.097918433887173</v>
      </c>
      <c r="E20" s="286">
        <v>70.172249217213945</v>
      </c>
      <c r="F20" s="301">
        <f t="shared" si="1"/>
        <v>1.5547947140472695E-2</v>
      </c>
      <c r="G20" s="242">
        <v>581.88998735160908</v>
      </c>
      <c r="H20" s="286">
        <v>505.45970931852554</v>
      </c>
      <c r="I20" s="226">
        <f t="shared" si="2"/>
        <v>-0.13134832991532519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52">
        <v>5.0092692666666681</v>
      </c>
      <c r="E21" s="317">
        <v>4.6831967891666686</v>
      </c>
      <c r="F21" s="226">
        <f t="shared" si="1"/>
        <v>-6.5093821102769067E-2</v>
      </c>
      <c r="G21" s="242">
        <v>44.413101650000009</v>
      </c>
      <c r="H21" s="286">
        <v>46.286704132500006</v>
      </c>
      <c r="I21" s="226">
        <f t="shared" si="2"/>
        <v>4.2185805829663359E-2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4">
        <v>2198.3937699800485</v>
      </c>
      <c r="E22" s="286">
        <v>2423.0539554617185</v>
      </c>
      <c r="F22" s="226">
        <f t="shared" si="1"/>
        <v>0.10219287761341711</v>
      </c>
      <c r="G22" s="242">
        <v>14452.885868710368</v>
      </c>
      <c r="H22" s="286">
        <v>17729.919755498147</v>
      </c>
      <c r="I22" s="226">
        <f t="shared" si="2"/>
        <v>0.22673906903827157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352">
        <v>34.139117916374019</v>
      </c>
      <c r="E23" s="317">
        <v>33.527264946666662</v>
      </c>
      <c r="F23" s="226">
        <f t="shared" si="1"/>
        <v>-1.792234266878634E-2</v>
      </c>
      <c r="G23" s="242">
        <v>398.00167652722928</v>
      </c>
      <c r="H23" s="286">
        <v>301.37586650933332</v>
      </c>
      <c r="I23" s="226">
        <f t="shared" si="2"/>
        <v>-0.24277739445975755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68">
        <v>0.10864699999999999</v>
      </c>
      <c r="E24" s="369">
        <v>0.10677922000000001</v>
      </c>
      <c r="F24" s="226">
        <f t="shared" si="1"/>
        <v>-1.7191270812815684E-2</v>
      </c>
      <c r="G24" s="242">
        <v>4.9737480000000005</v>
      </c>
      <c r="H24" s="286">
        <v>1.4493069825000002</v>
      </c>
      <c r="I24" s="301">
        <f t="shared" si="2"/>
        <v>-0.70860868252673836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4">
        <v>63.00557633333333</v>
      </c>
      <c r="E25" s="286">
        <v>63.303180260833344</v>
      </c>
      <c r="F25" s="226">
        <f t="shared" si="1"/>
        <v>4.7234537769407225E-3</v>
      </c>
      <c r="G25" s="242">
        <v>484.77820500000001</v>
      </c>
      <c r="H25" s="286">
        <v>532.43707162499993</v>
      </c>
      <c r="I25" s="226">
        <f t="shared" si="2"/>
        <v>9.831066275968392E-2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4">
        <v>44.251325000000001</v>
      </c>
      <c r="E26" s="286">
        <v>42.529958975633335</v>
      </c>
      <c r="F26" s="226">
        <f t="shared" si="1"/>
        <v>-3.8899762309188901E-2</v>
      </c>
      <c r="G26" s="242">
        <v>703.98207699999989</v>
      </c>
      <c r="H26" s="286">
        <v>651.33743132753341</v>
      </c>
      <c r="I26" s="226">
        <f t="shared" si="2"/>
        <v>-7.478123008018922E-2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4">
        <v>125.74513996047682</v>
      </c>
      <c r="E27" s="286">
        <v>121.81044624083863</v>
      </c>
      <c r="F27" s="226">
        <f t="shared" si="1"/>
        <v>-3.1291020240423739E-2</v>
      </c>
      <c r="G27" s="242">
        <v>978.92215456933923</v>
      </c>
      <c r="H27" s="286">
        <v>1100.2100767525478</v>
      </c>
      <c r="I27" s="226">
        <f t="shared" si="2"/>
        <v>0.12389945576067518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4">
        <v>70.431653895000011</v>
      </c>
      <c r="E28" s="286">
        <v>55.493066789166683</v>
      </c>
      <c r="F28" s="226">
        <f t="shared" si="1"/>
        <v>-0.21210047300754675</v>
      </c>
      <c r="G28" s="242">
        <v>818.81138234000002</v>
      </c>
      <c r="H28" s="286">
        <v>799.92782845416662</v>
      </c>
      <c r="I28" s="226">
        <f t="shared" si="2"/>
        <v>-2.3062153620615256E-2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352">
        <v>3.1756369999999996</v>
      </c>
      <c r="E29" s="317">
        <v>2.9735593333333332</v>
      </c>
      <c r="F29" s="226">
        <f t="shared" si="1"/>
        <v>-6.3633742353633727E-2</v>
      </c>
      <c r="G29" s="242">
        <v>35.601725000000002</v>
      </c>
      <c r="H29" s="286">
        <v>34.01443033333333</v>
      </c>
      <c r="I29" s="301">
        <f t="shared" si="2"/>
        <v>-4.4584768481489956E-2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24">
        <v>12.308719999999999</v>
      </c>
      <c r="E30" s="286">
        <v>22.758248036666672</v>
      </c>
      <c r="F30" s="226">
        <f t="shared" si="1"/>
        <v>0.84895326538150773</v>
      </c>
      <c r="G30" s="242">
        <v>115.99662299999999</v>
      </c>
      <c r="H30" s="286">
        <v>126.30540596166668</v>
      </c>
      <c r="I30" s="226">
        <f t="shared" si="2"/>
        <v>8.887140586555442E-2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24">
        <v>1.1005480000000003</v>
      </c>
      <c r="E31" s="286">
        <v>1.1005480000000003</v>
      </c>
      <c r="F31" s="301">
        <f>+E31/D31-1</f>
        <v>0</v>
      </c>
      <c r="G31" s="242">
        <v>9.9049320000000041</v>
      </c>
      <c r="H31" s="286">
        <v>9.9049320000000041</v>
      </c>
      <c r="I31" s="226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8">
        <v>3.6513473333333333</v>
      </c>
      <c r="E32" s="287">
        <v>48.737934971666668</v>
      </c>
      <c r="F32" s="227">
        <f t="shared" si="1"/>
        <v>12.347931741999894</v>
      </c>
      <c r="G32" s="243">
        <v>32.067283999999994</v>
      </c>
      <c r="H32" s="287">
        <v>198.02280889333335</v>
      </c>
      <c r="I32" s="227">
        <f t="shared" si="2"/>
        <v>5.1752285879070206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4" t="s">
        <v>108</v>
      </c>
      <c r="D33" s="111">
        <f>SUM(D8:D32)</f>
        <v>4458.8489164628363</v>
      </c>
      <c r="E33" s="288">
        <f>SUM(E8:E32)</f>
        <v>4710.1437276580127</v>
      </c>
      <c r="F33" s="116">
        <f>+E33/D33-1</f>
        <v>5.6358673707770812E-2</v>
      </c>
      <c r="G33" s="244">
        <f>SUM(G8:G32)</f>
        <v>38422.219990464269</v>
      </c>
      <c r="H33" s="288">
        <f>SUM(H8:H32)</f>
        <v>42662.007684719174</v>
      </c>
      <c r="I33" s="245">
        <f>+H33/G33-1</f>
        <v>0.11034728590141718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127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2423.0539554617199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725.99294351836681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328.88534464031073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159.21312509682724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122.80520985999998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121.81044624083863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26</v>
      </c>
      <c r="O50" s="52">
        <v>109.37789772583335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18</v>
      </c>
      <c r="O51" s="53">
        <v>104.3094413099799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20</v>
      </c>
      <c r="O52" s="53">
        <v>98.181988691158566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25</v>
      </c>
      <c r="O53" s="53">
        <v>82.862323465005588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22</v>
      </c>
      <c r="O54" s="53">
        <v>80.31387155276667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28</v>
      </c>
      <c r="O55" s="52">
        <v>70.172249217213945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33</v>
      </c>
      <c r="O56" s="53">
        <v>63.303180260833344</v>
      </c>
      <c r="P56" s="8"/>
      <c r="S56" s="91"/>
    </row>
    <row r="57" spans="3:19">
      <c r="N57" s="51" t="s">
        <v>36</v>
      </c>
      <c r="O57" s="52">
        <v>55.493066789166683</v>
      </c>
      <c r="S57" s="91"/>
    </row>
    <row r="58" spans="3:19">
      <c r="N58" s="51" t="s">
        <v>40</v>
      </c>
      <c r="O58" s="52">
        <v>48.737934971666668</v>
      </c>
      <c r="S58" s="121"/>
    </row>
    <row r="59" spans="3:19">
      <c r="N59" s="51" t="s">
        <v>34</v>
      </c>
      <c r="O59" s="52">
        <v>42.529958975633335</v>
      </c>
      <c r="S59" s="91"/>
    </row>
    <row r="60" spans="3:19">
      <c r="N60" s="51" t="s">
        <v>31</v>
      </c>
      <c r="O60" s="52">
        <v>33.527264946666662</v>
      </c>
      <c r="S60" s="91"/>
    </row>
    <row r="61" spans="3:19">
      <c r="N61" s="51" t="s">
        <v>38</v>
      </c>
      <c r="O61" s="52">
        <v>22.758248036666672</v>
      </c>
      <c r="S61" s="91"/>
    </row>
    <row r="62" spans="3:19">
      <c r="N62" s="51" t="s">
        <v>29</v>
      </c>
      <c r="O62" s="52">
        <v>4.6831967891666686</v>
      </c>
      <c r="S62" s="91"/>
    </row>
    <row r="63" spans="3:19">
      <c r="N63" s="50" t="s">
        <v>17</v>
      </c>
      <c r="O63" s="53">
        <v>4.126455888193318</v>
      </c>
      <c r="S63" s="91"/>
    </row>
    <row r="64" spans="3:19">
      <c r="N64" s="50" t="s">
        <v>19</v>
      </c>
      <c r="O64" s="53">
        <v>3.2140306666666669</v>
      </c>
      <c r="S64" s="91"/>
    </row>
    <row r="65" spans="6:19">
      <c r="N65" s="50" t="s">
        <v>37</v>
      </c>
      <c r="O65" s="53">
        <v>2.9735593333333332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0.61070700000000011</v>
      </c>
      <c r="S67" s="91"/>
    </row>
    <row r="68" spans="6:19">
      <c r="N68" s="9" t="s">
        <v>32</v>
      </c>
      <c r="O68" s="52">
        <v>0.10677922000000001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2021-10-18T21:09:15Z</dcterms:modified>
</cp:coreProperties>
</file>